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ilstu.edu\VPFP\Users\ctmikes\Desktop\"/>
    </mc:Choice>
  </mc:AlternateContent>
  <xr:revisionPtr revIDLastSave="0" documentId="8_{AA882EA5-ECAE-427A-AC8D-25171327AC5B}" xr6:coauthVersionLast="46" xr6:coauthVersionMax="46" xr10:uidLastSave="{00000000-0000-0000-0000-000000000000}"/>
  <workbookProtection workbookAlgorithmName="SHA-512" workbookHashValue="blZ6n5sRsEWVSsJriBouzu2RslSA5h9s5Z4TsgfrWUwEB6Jf/D5l0UCOcRdPhAw80/l1LmKTvX7B7/RVeciGkA==" workbookSaltValue="BTbsxxVS9VLfY9EIVhwhRQ==" workbookSpinCount="100000" lockStructure="1"/>
  <bookViews>
    <workbookView xWindow="-120" yWindow="-120" windowWidth="29040" windowHeight="15840" xr2:uid="{00000000-000D-0000-FFFF-FFFF00000000}"/>
  </bookViews>
  <sheets>
    <sheet name="G2N Calculation" sheetId="1" r:id="rId1"/>
    <sheet name="Table 1" sheetId="5" state="hidden" r:id="rId2"/>
    <sheet name="Sheet2" sheetId="6" state="hidden" r:id="rId3"/>
    <sheet name="Fed Tax Table" sheetId="3" state="hidden" r:id="rId4"/>
    <sheet name="NRA" sheetId="4" state="hidden" r:id="rId5"/>
  </sheets>
  <definedNames>
    <definedName name="_xlnm.Print_Area" localSheetId="1">'Table 1'!$A$1:$F$44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C12" i="1"/>
  <c r="C11" i="1"/>
  <c r="H11" i="1" l="1"/>
  <c r="H12" i="1" s="1"/>
  <c r="G30" i="1" s="1"/>
  <c r="G31" i="1" s="1"/>
  <c r="H35" i="1" l="1"/>
  <c r="G33" i="1"/>
  <c r="F14" i="5"/>
  <c r="F12" i="5"/>
  <c r="F10" i="5"/>
  <c r="F15" i="5" l="1"/>
  <c r="C22" i="4" l="1"/>
  <c r="H34" i="1" s="1"/>
  <c r="I30" i="5" l="1"/>
  <c r="F1" i="5" l="1"/>
  <c r="C34" i="1"/>
  <c r="J30" i="5" l="1"/>
  <c r="F43" i="5"/>
  <c r="F38" i="5"/>
  <c r="F20" i="5"/>
  <c r="F21" i="5" s="1"/>
  <c r="F5" i="5"/>
  <c r="F39" i="5" l="1"/>
  <c r="C11" i="3"/>
  <c r="G11" i="3" l="1"/>
  <c r="G21" i="3"/>
  <c r="E21" i="3" l="1"/>
  <c r="E11" i="3"/>
  <c r="C26" i="3" l="1"/>
  <c r="C25" i="3"/>
  <c r="C24" i="3"/>
  <c r="C23" i="3"/>
  <c r="C22" i="3"/>
  <c r="C21" i="3"/>
  <c r="E22" i="3" s="1"/>
  <c r="E23" i="3" s="1"/>
  <c r="E24" i="3" s="1"/>
  <c r="C16" i="3"/>
  <c r="C15" i="3"/>
  <c r="C14" i="3"/>
  <c r="C13" i="3"/>
  <c r="C12" i="3"/>
  <c r="E12" i="3"/>
  <c r="E25" i="3" l="1"/>
  <c r="E26" i="3" s="1"/>
  <c r="E27" i="3" s="1"/>
  <c r="E13" i="3"/>
  <c r="E14" i="3" s="1"/>
  <c r="E15" i="3" s="1"/>
  <c r="E16" i="3" s="1"/>
  <c r="E17" i="3" s="1"/>
  <c r="G27" i="3"/>
  <c r="G26" i="3"/>
  <c r="G25" i="3"/>
  <c r="G24" i="3"/>
  <c r="G23" i="3"/>
  <c r="G22" i="3"/>
  <c r="G17" i="3"/>
  <c r="G16" i="3"/>
  <c r="G15" i="3"/>
  <c r="G14" i="3"/>
  <c r="G13" i="3"/>
  <c r="G12" i="3"/>
  <c r="G35" i="1" l="1"/>
  <c r="G41" i="1"/>
  <c r="G37" i="1" s="1"/>
  <c r="H39" i="1" l="1"/>
  <c r="G34" i="1"/>
  <c r="H38" i="1" s="1"/>
  <c r="E34" i="1" l="1"/>
  <c r="F4" i="5"/>
  <c r="F6" i="5" s="1"/>
  <c r="F7" i="5" s="1"/>
  <c r="F22" i="5" l="1"/>
  <c r="F11" i="5"/>
  <c r="F16" i="5" s="1"/>
  <c r="F28" i="5" l="1"/>
  <c r="K36" i="5" l="1"/>
  <c r="K34" i="5"/>
  <c r="J34" i="5"/>
  <c r="M35" i="5"/>
  <c r="I35" i="5"/>
  <c r="M34" i="5"/>
  <c r="H35" i="5"/>
  <c r="J36" i="5"/>
  <c r="H36" i="5"/>
  <c r="I34" i="5"/>
  <c r="L34" i="5"/>
  <c r="M36" i="5"/>
  <c r="I36" i="5"/>
  <c r="K35" i="5"/>
  <c r="L35" i="5"/>
  <c r="L36" i="5"/>
  <c r="H34" i="5"/>
  <c r="J35" i="5"/>
  <c r="F30" i="5" l="1"/>
  <c r="F29" i="5"/>
  <c r="F32" i="5" s="1"/>
  <c r="F31" i="5"/>
  <c r="F33" i="5" l="1"/>
  <c r="F34" i="5" s="1"/>
  <c r="F35" i="5" s="1"/>
  <c r="F40" i="5" l="1"/>
  <c r="F44" i="5" s="1"/>
  <c r="G38" i="1" s="1"/>
  <c r="G39" i="1" s="1"/>
  <c r="G42" i="1" l="1"/>
  <c r="G43" i="1" l="1"/>
</calcChain>
</file>

<file path=xl/sharedStrings.xml><?xml version="1.0" encoding="utf-8"?>
<sst xmlns="http://schemas.openxmlformats.org/spreadsheetml/2006/main" count="204" uniqueCount="147">
  <si>
    <t>Gross Wages</t>
  </si>
  <si>
    <t>FICA Gross</t>
  </si>
  <si>
    <t>State Taxable Gross</t>
  </si>
  <si>
    <t>Federal Filing Status</t>
  </si>
  <si>
    <t>Federal Allowances</t>
  </si>
  <si>
    <t>Federal Additional Amount</t>
  </si>
  <si>
    <t>State Allowances</t>
  </si>
  <si>
    <t>Federal Income Taxes</t>
  </si>
  <si>
    <t>State Income Taxes</t>
  </si>
  <si>
    <t>Net Pay</t>
  </si>
  <si>
    <t>Semi-Monthly</t>
  </si>
  <si>
    <t>No</t>
  </si>
  <si>
    <t>Over</t>
  </si>
  <si>
    <t>Amount</t>
  </si>
  <si>
    <t>If Taxable Income Is:</t>
  </si>
  <si>
    <t>But not Over</t>
  </si>
  <si>
    <t>Plus %</t>
  </si>
  <si>
    <t>of Excess</t>
  </si>
  <si>
    <t>Married Filing Jointly:</t>
  </si>
  <si>
    <t>Single:</t>
  </si>
  <si>
    <t>Table for Withholding Adjustment for Nonresident Alien Taxation</t>
  </si>
  <si>
    <t>Pay Period</t>
  </si>
  <si>
    <t>Additional Amount</t>
  </si>
  <si>
    <t>Monthly</t>
  </si>
  <si>
    <t>Annually</t>
  </si>
  <si>
    <t>State Income Tax Rate</t>
  </si>
  <si>
    <t>Personal Exemption</t>
  </si>
  <si>
    <t>State Allowance</t>
  </si>
  <si>
    <t>State Add'l Allowance</t>
  </si>
  <si>
    <t>Federal Income Tax</t>
  </si>
  <si>
    <t>State Income Tax</t>
  </si>
  <si>
    <t>Earnings</t>
  </si>
  <si>
    <t>Taxable Income</t>
  </si>
  <si>
    <t>Tax Calculations</t>
  </si>
  <si>
    <t>Check Calculation</t>
  </si>
  <si>
    <t>Taxes</t>
  </si>
  <si>
    <t>Yes</t>
  </si>
  <si>
    <t>Nonresident Alien Withholding 2019</t>
  </si>
  <si>
    <t>Income Tax 2019</t>
  </si>
  <si>
    <t>Employer’s Withholding Worksheet</t>
  </si>
  <si>
    <t>Tax Form Year</t>
  </si>
  <si>
    <t>Step 1.       Adjust the employee’s wage amount</t>
  </si>
  <si>
    <t>1a    Enter the employee’s total taxable wages this period</t>
  </si>
  <si>
    <t>1a</t>
  </si>
  <si>
    <t>$</t>
  </si>
  <si>
    <t>1b</t>
  </si>
  <si>
    <t>1c    Multiply the amount on line 1a by the number on line 1b</t>
  </si>
  <si>
    <t>1c</t>
  </si>
  <si>
    <r>
      <t xml:space="preserve">If the employee </t>
    </r>
    <r>
      <rPr>
        <b/>
        <sz val="8"/>
        <color indexed="63"/>
        <rFont val="Arial"/>
        <family val="1"/>
        <charset val="204"/>
      </rPr>
      <t>HAS submitted a Form W-4 for 2020 or later, figure the Adjusted Wage Amount as follows:</t>
    </r>
  </si>
  <si>
    <r>
      <t xml:space="preserve">If the employee has </t>
    </r>
    <r>
      <rPr>
        <b/>
        <sz val="8"/>
        <color indexed="63"/>
        <rFont val="Arial"/>
        <family val="1"/>
        <charset val="204"/>
      </rPr>
      <t>NOT submitted a Form W-4 for 2020 or later, figure the Adjusted Wage Amount as follows:</t>
    </r>
  </si>
  <si>
    <t>1l</t>
  </si>
  <si>
    <t>1m</t>
  </si>
  <si>
    <t>1n</t>
  </si>
  <si>
    <t>Step 2.       Figure the Tentative Withholding Amount</t>
  </si>
  <si>
    <t>2c</t>
  </si>
  <si>
    <t>2d</t>
  </si>
  <si>
    <t>2e</t>
  </si>
  <si>
    <t>2f</t>
  </si>
  <si>
    <t>%</t>
  </si>
  <si>
    <t>2g</t>
  </si>
  <si>
    <t>2h</t>
  </si>
  <si>
    <t>2i</t>
  </si>
  <si>
    <t>2j</t>
  </si>
  <si>
    <t>Step 3.       Account for tax credits</t>
  </si>
  <si>
    <t>3b</t>
  </si>
  <si>
    <t>3c</t>
  </si>
  <si>
    <t>3d</t>
  </si>
  <si>
    <t>Step 4.       Figure the final amount to withhold</t>
  </si>
  <si>
    <t xml:space="preserve">4a    Enter the additional amount to withhold from the employee’s Form W-4 (line 4c of the 2020 form or line 6 on earlier forms)                                                 </t>
  </si>
  <si>
    <t>4a</t>
  </si>
  <si>
    <t>4b</t>
  </si>
  <si>
    <t>2. Percentage Method Tables for Federal Income Tax Withholding</t>
  </si>
  <si>
    <t>STANDARD Withholding Rate Schedules</t>
  </si>
  <si>
    <t>HIGHER Withholding Rate Schedules</t>
  </si>
  <si>
    <r>
      <t xml:space="preserve">(Use these if the Form W-4 is from before 2020, or if the Form W-4 is from 2020 or later and the box in Step 2 of Form W-4 is </t>
    </r>
    <r>
      <rPr>
        <b/>
        <sz val="8"/>
        <color indexed="63"/>
        <rFont val="Arial"/>
        <family val="1"/>
        <charset val="204"/>
      </rPr>
      <t>NOT checked.)</t>
    </r>
  </si>
  <si>
    <r>
      <t xml:space="preserve">(Use these if the Form W-4 is from 2020 or later and the box in Step 2 of Form W-4 </t>
    </r>
    <r>
      <rPr>
        <b/>
        <sz val="8"/>
        <color indexed="63"/>
        <rFont val="Arial"/>
        <family val="1"/>
        <charset val="204"/>
      </rPr>
      <t>IS checked)</t>
    </r>
  </si>
  <si>
    <t>If the Adjusted Annual Wage Amount (line 2c) is:</t>
  </si>
  <si>
    <t>of the amount that the Adjusted</t>
  </si>
  <si>
    <t>At least—</t>
  </si>
  <si>
    <t>But less than—</t>
  </si>
  <si>
    <r>
      <t>The                                       Annual</t>
    </r>
    <r>
      <rPr>
        <sz val="8"/>
        <color indexed="8"/>
        <rFont val="Arial"/>
        <family val="1"/>
        <charset val="204"/>
      </rPr>
      <t xml:space="preserve">
</t>
    </r>
    <r>
      <rPr>
        <b/>
        <sz val="8"/>
        <color indexed="63"/>
        <rFont val="Arial"/>
        <family val="1"/>
        <charset val="204"/>
      </rPr>
      <t>tentative                                   Wage</t>
    </r>
    <r>
      <rPr>
        <sz val="8"/>
        <color indexed="8"/>
        <rFont val="Arial"/>
        <family val="1"/>
        <charset val="204"/>
      </rPr>
      <t xml:space="preserve">
</t>
    </r>
    <r>
      <rPr>
        <b/>
        <sz val="8"/>
        <color indexed="63"/>
        <rFont val="Arial"/>
        <family val="1"/>
        <charset val="204"/>
      </rPr>
      <t>amount to          Plus this         (line 2c) withhold is:     percentage—    exceeds—</t>
    </r>
  </si>
  <si>
    <r>
      <t>The                                     Annual</t>
    </r>
    <r>
      <rPr>
        <sz val="8"/>
        <color indexed="8"/>
        <rFont val="Arial"/>
        <family val="1"/>
        <charset val="204"/>
      </rPr>
      <t xml:space="preserve">
</t>
    </r>
    <r>
      <rPr>
        <b/>
        <sz val="8"/>
        <color indexed="63"/>
        <rFont val="Arial"/>
        <family val="1"/>
        <charset val="204"/>
      </rPr>
      <t>tentative                                 Wage</t>
    </r>
    <r>
      <rPr>
        <sz val="8"/>
        <color indexed="8"/>
        <rFont val="Arial"/>
        <family val="1"/>
        <charset val="204"/>
      </rPr>
      <t xml:space="preserve">
</t>
    </r>
    <r>
      <rPr>
        <b/>
        <sz val="8"/>
        <color indexed="63"/>
        <rFont val="Arial"/>
        <family val="1"/>
        <charset val="204"/>
      </rPr>
      <t>amount to         Plus this        (line 2c) withhold is:    percentage—    exceeds—</t>
    </r>
  </si>
  <si>
    <t>A</t>
  </si>
  <si>
    <t>B</t>
  </si>
  <si>
    <t>C</t>
  </si>
  <si>
    <t>D</t>
  </si>
  <si>
    <t>E</t>
  </si>
  <si>
    <t>Married Filing Jointly</t>
  </si>
  <si>
    <t>Head of Household</t>
  </si>
  <si>
    <t>Semimonthly</t>
  </si>
  <si>
    <t>Biweekly</t>
  </si>
  <si>
    <t>Weekly</t>
  </si>
  <si>
    <t>Daily</t>
  </si>
  <si>
    <t>2019 or earlier</t>
  </si>
  <si>
    <t>2020 or after</t>
  </si>
  <si>
    <t>Step 2c - Higher withholding rate</t>
  </si>
  <si>
    <t>M</t>
  </si>
  <si>
    <t>S</t>
  </si>
  <si>
    <t>HOH</t>
  </si>
  <si>
    <t>Step 1c - Filing Status</t>
  </si>
  <si>
    <t>Step 3 - Dependents</t>
  </si>
  <si>
    <t>Step 4a - Other Income</t>
  </si>
  <si>
    <t>Step 4b - Deductions</t>
  </si>
  <si>
    <t>Step 4c - Extra Withholding</t>
  </si>
  <si>
    <r>
      <t xml:space="preserve">Non-Resident Alien for Tax Purposes
   </t>
    </r>
    <r>
      <rPr>
        <i/>
        <sz val="10"/>
        <color theme="1"/>
        <rFont val="Calibri"/>
        <family val="2"/>
        <scheme val="minor"/>
      </rPr>
      <t>(Except India F-1 or J-1)</t>
    </r>
  </si>
  <si>
    <t>Nonresident Alien Withholding 2020</t>
  </si>
  <si>
    <t>standard</t>
  </si>
  <si>
    <t>higher rate</t>
  </si>
  <si>
    <t>Single or Married Filing Separately</t>
  </si>
  <si>
    <t xml:space="preserve">1b    Enter the number of pay periods you have per year (see Table 3)                           </t>
  </si>
  <si>
    <t>1d Enter the amount from Step 4(a) of the employee's Form W-4</t>
  </si>
  <si>
    <t>1e Add lines 1c and 1d</t>
  </si>
  <si>
    <t>1f Enter the amount from Step 4(b) of the employee's Form W-4</t>
  </si>
  <si>
    <t xml:space="preserve">1g If the box in Step 2 of Form W-4 is checked, enter -0-. If the box is not checked, </t>
  </si>
  <si>
    <t xml:space="preserve">          enter $12,900 if the taxpayer is married filing jointly or $8,600 otherwise</t>
  </si>
  <si>
    <t>1h Add lines 1f and 1g</t>
  </si>
  <si>
    <r>
      <t xml:space="preserve">1i Subtract line 1h from line 1e. If zero or less, enter -0-. This is the </t>
    </r>
    <r>
      <rPr>
        <b/>
        <sz val="8"/>
        <color rgb="FF333333"/>
        <rFont val="Arial"/>
        <family val="2"/>
      </rPr>
      <t>Adjusted Annual Wage Amount</t>
    </r>
  </si>
  <si>
    <t xml:space="preserve">1j     Enter the number of allowances claimed on the employee's most recent Form W-4              </t>
  </si>
  <si>
    <r>
      <t xml:space="preserve">1l    Subtract line 1m from line 1c If zero or less, enter -0- This is the </t>
    </r>
    <r>
      <rPr>
        <b/>
        <sz val="8"/>
        <color rgb="FF333333"/>
        <rFont val="Arial"/>
        <family val="2"/>
      </rPr>
      <t>Adjusted Annual Wage Amount</t>
    </r>
    <r>
      <rPr>
        <sz val="8"/>
        <color indexed="63"/>
        <rFont val="Arial"/>
        <family val="1"/>
        <charset val="204"/>
      </rPr>
      <t xml:space="preserve">                                                              </t>
    </r>
  </si>
  <si>
    <t>based on the employee's Adjusted Annual Wage Amount; filing status (Step 1(c) of the 2020 Form W-4) or marital status (line 3 of Form W-4 from 2019 or earlier); and whether the box in Step 2 of 2020 Form W-4 is checked. Note. Don't use the Head of Household table if the Form W-4 is from 2019 or earlier.</t>
  </si>
  <si>
    <t xml:space="preserve">2a    Enter the employee's Adjusted Annual Wage Amount from line 1i or 1l above          </t>
  </si>
  <si>
    <t xml:space="preserve">2d   Enter the percentage from column D of that row                                      </t>
  </si>
  <si>
    <t xml:space="preserve">2c   Enter the amount from column C of that row                                          </t>
  </si>
  <si>
    <t xml:space="preserve">2e   Subtract line 2b from line 2a                                                  </t>
  </si>
  <si>
    <t>2g   Add line 2c and line 2f</t>
  </si>
  <si>
    <t xml:space="preserve">2f   Multiply the amount on line 2g by the percentage on line 2f                   </t>
  </si>
  <si>
    <t>2b   Find the row in the appropriate Annual Percentage Method table in which the amount on line 2a is at least the amount in column A but less than the amount in column B, then enter here the amount from column A of that row</t>
  </si>
  <si>
    <t xml:space="preserve">2h   Divide the amount on line 2g by the number of pay periods on line 1b This is the Tentative Withholding Amount                                          </t>
  </si>
  <si>
    <t xml:space="preserve">3a    If the employee's Form W-4 is from 2020, enter the amount from Step 3 of that form; otherwise enter -0-                                                                </t>
  </si>
  <si>
    <t xml:space="preserve">3b    Divide the amount on line 3a by the number of pay periods on line 1b                    </t>
  </si>
  <si>
    <t xml:space="preserve">4b    Add lines 3c and 4a This is the amount to withhold from the employee’s wages this pay period                                                               </t>
  </si>
  <si>
    <t xml:space="preserve">3c    Subtract line 3b from line 2h If zero or less, enter -0-                               </t>
  </si>
  <si>
    <t>Adjusted for NRA</t>
  </si>
  <si>
    <t xml:space="preserve">1k   Multiply line 1l by $4,300 (2020 allowance)                                                       </t>
  </si>
  <si>
    <t>Subject to FICA</t>
  </si>
  <si>
    <t>Gross to Net Calculator with Taxable Tuition Waiver</t>
  </si>
  <si>
    <t>Waiver Information</t>
  </si>
  <si>
    <t>What semester are you calculating?</t>
  </si>
  <si>
    <t>Spring</t>
  </si>
  <si>
    <t>Waiver received for Spring semester</t>
  </si>
  <si>
    <t>Summer</t>
  </si>
  <si>
    <t>Fall</t>
  </si>
  <si>
    <t>Pay Frequency</t>
  </si>
  <si>
    <t>Tuition</t>
  </si>
  <si>
    <t>Taxable Tuition (Semester)</t>
  </si>
  <si>
    <t>Taxable Tuition (Pay Period)</t>
  </si>
  <si>
    <t>2021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</si>
</sst>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\$###0;\$###0"/>
    <numFmt numFmtId="166" formatCode="\$#,##0;\$#,##0"/>
    <numFmt numFmtId="167" formatCode="\$###0.00;\$###0.00"/>
    <numFmt numFmtId="168" formatCode="\$#,##0.00;\$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indexed="63"/>
      <name val="Arial"/>
      <family val="1"/>
      <charset val="204"/>
    </font>
    <font>
      <b/>
      <sz val="8"/>
      <name val="Arial"/>
      <family val="2"/>
    </font>
    <font>
      <b/>
      <sz val="8"/>
      <color indexed="63"/>
      <name val="Arial"/>
      <family val="1"/>
      <charset val="204"/>
    </font>
    <font>
      <sz val="8"/>
      <name val="Arial"/>
      <family val="2"/>
    </font>
    <font>
      <sz val="8"/>
      <color indexed="63"/>
      <name val="Arial"/>
      <family val="1"/>
      <charset val="204"/>
    </font>
    <font>
      <b/>
      <sz val="8"/>
      <color rgb="FF333333"/>
      <name val="Arial"/>
      <family val="2"/>
    </font>
    <font>
      <b/>
      <sz val="17"/>
      <color indexed="63"/>
      <name val="Arial"/>
      <family val="1"/>
      <charset val="204"/>
    </font>
    <font>
      <sz val="8"/>
      <color indexed="8"/>
      <name val="Arial"/>
      <family val="1"/>
      <charset val="204"/>
    </font>
    <font>
      <sz val="8"/>
      <color indexed="63"/>
      <name val="Arial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6E7E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231F2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indexed="64"/>
      </right>
      <top style="thin">
        <color rgb="FF231F20"/>
      </top>
      <bottom/>
      <diagonal/>
    </border>
    <border>
      <left style="thin">
        <color indexed="64"/>
      </left>
      <right/>
      <top style="thin">
        <color rgb="FF231F20"/>
      </top>
      <bottom style="thin">
        <color indexed="64"/>
      </bottom>
      <diagonal/>
    </border>
    <border>
      <left/>
      <right/>
      <top style="thin">
        <color rgb="FF231F20"/>
      </top>
      <bottom style="thin">
        <color indexed="64"/>
      </bottom>
      <diagonal/>
    </border>
    <border>
      <left/>
      <right style="thin">
        <color indexed="64"/>
      </right>
      <top style="thin">
        <color rgb="FF231F20"/>
      </top>
      <bottom style="thin">
        <color indexed="64"/>
      </bottom>
      <diagonal/>
    </border>
    <border>
      <left style="thin">
        <color indexed="64"/>
      </left>
      <right/>
      <top style="thin">
        <color rgb="FF231F2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</cellStyleXfs>
  <cellXfs count="172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5" fillId="0" borderId="7" xfId="0" applyNumberFormat="1" applyFont="1" applyBorder="1" applyAlignment="1">
      <alignment horizontal="right" vertical="center"/>
    </xf>
    <xf numFmtId="6" fontId="5" fillId="0" borderId="0" xfId="0" applyNumberFormat="1" applyFont="1" applyAlignment="1">
      <alignment horizontal="right" vertical="center"/>
    </xf>
    <xf numFmtId="8" fontId="0" fillId="0" borderId="0" xfId="0" applyNumberFormat="1"/>
    <xf numFmtId="8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6" fontId="5" fillId="0" borderId="9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0" fontId="5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8" fontId="4" fillId="0" borderId="9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8" fontId="4" fillId="0" borderId="8" xfId="0" applyNumberFormat="1" applyFont="1" applyBorder="1" applyAlignment="1">
      <alignment horizontal="right" vertical="center" wrapText="1"/>
    </xf>
    <xf numFmtId="10" fontId="0" fillId="0" borderId="0" xfId="2" applyNumberFormat="1" applyFont="1"/>
    <xf numFmtId="8" fontId="5" fillId="0" borderId="0" xfId="0" applyNumberFormat="1" applyFont="1" applyFill="1" applyBorder="1" applyAlignment="1">
      <alignment horizontal="right" vertical="center"/>
    </xf>
    <xf numFmtId="44" fontId="0" fillId="0" borderId="0" xfId="3" applyFont="1"/>
    <xf numFmtId="0" fontId="0" fillId="0" borderId="0" xfId="0" applyBorder="1"/>
    <xf numFmtId="0" fontId="0" fillId="0" borderId="0" xfId="0" applyBorder="1" applyAlignment="1">
      <alignment wrapText="1"/>
    </xf>
    <xf numFmtId="10" fontId="0" fillId="2" borderId="0" xfId="2" applyNumberFormat="1" applyFont="1" applyFill="1" applyBorder="1"/>
    <xf numFmtId="0" fontId="6" fillId="0" borderId="7" xfId="0" applyFont="1" applyBorder="1"/>
    <xf numFmtId="0" fontId="0" fillId="0" borderId="9" xfId="0" applyBorder="1"/>
    <xf numFmtId="0" fontId="0" fillId="0" borderId="0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9" xfId="0" applyFill="1" applyBorder="1"/>
    <xf numFmtId="0" fontId="6" fillId="2" borderId="7" xfId="0" applyFont="1" applyFill="1" applyBorder="1"/>
    <xf numFmtId="40" fontId="0" fillId="3" borderId="9" xfId="0" applyNumberFormat="1" applyFill="1" applyBorder="1"/>
    <xf numFmtId="0" fontId="0" fillId="0" borderId="4" xfId="0" applyBorder="1"/>
    <xf numFmtId="0" fontId="0" fillId="0" borderId="7" xfId="0" applyFill="1" applyBorder="1"/>
    <xf numFmtId="0" fontId="0" fillId="0" borderId="5" xfId="0" applyFill="1" applyBorder="1"/>
    <xf numFmtId="0" fontId="6" fillId="0" borderId="7" xfId="0" applyFont="1" applyFill="1" applyBorder="1"/>
    <xf numFmtId="40" fontId="0" fillId="3" borderId="8" xfId="0" applyNumberFormat="1" applyFill="1" applyBorder="1"/>
    <xf numFmtId="40" fontId="0" fillId="0" borderId="0" xfId="0" applyNumberFormat="1"/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12" xfId="1" applyFont="1" applyBorder="1" applyProtection="1">
      <protection locked="0"/>
    </xf>
    <xf numFmtId="10" fontId="0" fillId="2" borderId="0" xfId="2" applyNumberFormat="1" applyFont="1" applyFill="1" applyBorder="1" applyProtection="1">
      <protection locked="0"/>
    </xf>
    <xf numFmtId="39" fontId="0" fillId="3" borderId="9" xfId="1" quotePrefix="1" applyNumberFormat="1" applyFont="1" applyFill="1" applyBorder="1"/>
    <xf numFmtId="164" fontId="0" fillId="0" borderId="0" xfId="0" applyNumberFormat="1"/>
    <xf numFmtId="39" fontId="0" fillId="0" borderId="0" xfId="1" applyNumberFormat="1" applyFont="1"/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quotePrefix="1" applyNumberFormat="1" applyFill="1" applyBorder="1" applyProtection="1"/>
    <xf numFmtId="0" fontId="7" fillId="0" borderId="0" xfId="0" applyFont="1" applyFill="1" applyBorder="1"/>
    <xf numFmtId="0" fontId="7" fillId="0" borderId="5" xfId="0" applyFont="1" applyFill="1" applyBorder="1" applyAlignment="1">
      <alignment horizontal="left"/>
    </xf>
    <xf numFmtId="0" fontId="4" fillId="0" borderId="5" xfId="0" applyFont="1" applyBorder="1" applyAlignment="1">
      <alignment vertical="center"/>
    </xf>
    <xf numFmtId="6" fontId="5" fillId="0" borderId="4" xfId="0" applyNumberFormat="1" applyFont="1" applyBorder="1" applyAlignment="1">
      <alignment horizontal="right" vertical="center"/>
    </xf>
    <xf numFmtId="8" fontId="5" fillId="0" borderId="5" xfId="0" applyNumberFormat="1" applyFont="1" applyBorder="1" applyAlignment="1">
      <alignment horizontal="right" vertical="center"/>
    </xf>
    <xf numFmtId="6" fontId="5" fillId="0" borderId="8" xfId="0" applyNumberFormat="1" applyFont="1" applyBorder="1" applyAlignment="1">
      <alignment horizontal="right" vertical="center"/>
    </xf>
    <xf numFmtId="43" fontId="0" fillId="0" borderId="0" xfId="1" applyFont="1" applyBorder="1" applyProtection="1">
      <protection locked="0"/>
    </xf>
    <xf numFmtId="0" fontId="9" fillId="0" borderId="14" xfId="4" applyFont="1" applyBorder="1" applyAlignment="1"/>
    <xf numFmtId="0" fontId="9" fillId="0" borderId="14" xfId="4" applyFont="1" applyBorder="1" applyAlignment="1">
      <alignment horizontal="left" vertical="top" wrapText="1"/>
    </xf>
    <xf numFmtId="0" fontId="8" fillId="0" borderId="0" xfId="4">
      <alignment vertical="top" wrapText="1"/>
    </xf>
    <xf numFmtId="0" fontId="11" fillId="0" borderId="0" xfId="4" applyFont="1" applyAlignment="1">
      <alignment horizontal="left" vertical="top"/>
    </xf>
    <xf numFmtId="0" fontId="12" fillId="0" borderId="0" xfId="4" applyFont="1">
      <alignment vertical="top" wrapText="1"/>
    </xf>
    <xf numFmtId="43" fontId="12" fillId="0" borderId="0" xfId="1" applyFont="1" applyAlignment="1">
      <alignment vertical="top" wrapText="1"/>
    </xf>
    <xf numFmtId="0" fontId="13" fillId="0" borderId="0" xfId="4" applyFont="1" applyAlignment="1">
      <alignment horizontal="left" vertical="top"/>
    </xf>
    <xf numFmtId="43" fontId="12" fillId="4" borderId="15" xfId="1" applyFont="1" applyFill="1" applyBorder="1" applyAlignment="1">
      <alignment vertical="top" wrapText="1"/>
    </xf>
    <xf numFmtId="0" fontId="12" fillId="4" borderId="15" xfId="1" applyNumberFormat="1" applyFont="1" applyFill="1" applyBorder="1" applyAlignment="1">
      <alignment vertical="top" wrapText="1"/>
    </xf>
    <xf numFmtId="43" fontId="12" fillId="0" borderId="15" xfId="1" applyFont="1" applyBorder="1" applyAlignment="1">
      <alignment vertical="top" wrapText="1"/>
    </xf>
    <xf numFmtId="0" fontId="13" fillId="0" borderId="0" xfId="4" applyFont="1" applyAlignment="1">
      <alignment horizontal="left" vertical="top" wrapText="1"/>
    </xf>
    <xf numFmtId="0" fontId="12" fillId="0" borderId="0" xfId="4" applyFont="1" applyAlignment="1">
      <alignment wrapText="1"/>
    </xf>
    <xf numFmtId="0" fontId="8" fillId="0" borderId="0" xfId="4" applyAlignment="1">
      <alignment wrapText="1"/>
    </xf>
    <xf numFmtId="43" fontId="12" fillId="4" borderId="15" xfId="1" applyFont="1" applyFill="1" applyBorder="1" applyAlignment="1">
      <alignment wrapText="1"/>
    </xf>
    <xf numFmtId="0" fontId="15" fillId="0" borderId="0" xfId="4" applyFont="1" applyAlignment="1">
      <alignment horizontal="left" vertical="top"/>
    </xf>
    <xf numFmtId="0" fontId="8" fillId="0" borderId="16" xfId="4" applyBorder="1" applyAlignment="1">
      <alignment horizontal="left" vertical="top" wrapText="1"/>
    </xf>
    <xf numFmtId="0" fontId="11" fillId="0" borderId="19" xfId="4" applyFont="1" applyBorder="1" applyAlignment="1">
      <alignment horizontal="left" vertical="center" wrapText="1"/>
    </xf>
    <xf numFmtId="0" fontId="8" fillId="5" borderId="20" xfId="4" applyFill="1" applyBorder="1" applyAlignment="1">
      <alignment horizontal="left" vertical="top" wrapText="1"/>
    </xf>
    <xf numFmtId="0" fontId="11" fillId="5" borderId="0" xfId="4" applyFont="1" applyFill="1" applyAlignment="1">
      <alignment horizontal="right" vertical="top" wrapText="1"/>
    </xf>
    <xf numFmtId="0" fontId="8" fillId="5" borderId="0" xfId="4" applyFill="1" applyAlignment="1">
      <alignment horizontal="left" vertical="top" wrapText="1"/>
    </xf>
    <xf numFmtId="0" fontId="8" fillId="5" borderId="21" xfId="4" applyFill="1" applyBorder="1" applyAlignment="1">
      <alignment horizontal="left" vertical="top" wrapText="1"/>
    </xf>
    <xf numFmtId="165" fontId="17" fillId="0" borderId="20" xfId="4" applyNumberFormat="1" applyFont="1" applyBorder="1" applyAlignment="1">
      <alignment horizontal="right" vertical="top" wrapText="1"/>
    </xf>
    <xf numFmtId="166" fontId="17" fillId="0" borderId="0" xfId="4" applyNumberFormat="1" applyFont="1" applyAlignment="1">
      <alignment horizontal="left" vertical="top" wrapText="1"/>
    </xf>
    <xf numFmtId="167" fontId="17" fillId="0" borderId="0" xfId="4" applyNumberFormat="1" applyFont="1" applyAlignment="1">
      <alignment horizontal="center" vertical="top" wrapText="1"/>
    </xf>
    <xf numFmtId="165" fontId="17" fillId="0" borderId="21" xfId="4" applyNumberFormat="1" applyFont="1" applyBorder="1" applyAlignment="1">
      <alignment horizontal="right" vertical="top" wrapText="1"/>
    </xf>
    <xf numFmtId="167" fontId="17" fillId="0" borderId="0" xfId="4" applyNumberFormat="1" applyFont="1" applyAlignment="1">
      <alignment horizontal="left" vertical="top" wrapText="1"/>
    </xf>
    <xf numFmtId="166" fontId="17" fillId="0" borderId="20" xfId="4" applyNumberFormat="1" applyFont="1" applyBorder="1" applyAlignment="1">
      <alignment horizontal="left" vertical="top" wrapText="1"/>
    </xf>
    <xf numFmtId="166" fontId="17" fillId="0" borderId="21" xfId="4" applyNumberFormat="1" applyFont="1" applyBorder="1" applyAlignment="1">
      <alignment horizontal="left" vertical="top" wrapText="1"/>
    </xf>
    <xf numFmtId="168" fontId="17" fillId="0" borderId="0" xfId="4" applyNumberFormat="1" applyFont="1" applyAlignment="1">
      <alignment horizontal="left" vertical="top" wrapText="1"/>
    </xf>
    <xf numFmtId="0" fontId="8" fillId="0" borderId="0" xfId="4" applyAlignment="1">
      <alignment horizontal="left" vertical="top" wrapText="1"/>
    </xf>
    <xf numFmtId="0" fontId="11" fillId="5" borderId="0" xfId="4" applyFont="1" applyFill="1" applyAlignment="1">
      <alignment horizontal="left" vertical="top" wrapText="1"/>
    </xf>
    <xf numFmtId="166" fontId="17" fillId="0" borderId="17" xfId="4" applyNumberFormat="1" applyFont="1" applyBorder="1" applyAlignment="1">
      <alignment horizontal="left" vertical="top" wrapText="1"/>
    </xf>
    <xf numFmtId="0" fontId="8" fillId="0" borderId="14" xfId="4" applyBorder="1" applyAlignment="1">
      <alignment horizontal="left" vertical="top" wrapText="1"/>
    </xf>
    <xf numFmtId="168" fontId="17" fillId="0" borderId="14" xfId="4" applyNumberFormat="1" applyFont="1" applyBorder="1" applyAlignment="1">
      <alignment horizontal="left" vertical="top" wrapText="1"/>
    </xf>
    <xf numFmtId="166" fontId="17" fillId="0" borderId="14" xfId="4" applyNumberFormat="1" applyFont="1" applyBorder="1" applyAlignment="1">
      <alignment horizontal="left" vertical="top" wrapText="1"/>
    </xf>
    <xf numFmtId="0" fontId="11" fillId="0" borderId="22" xfId="4" applyFont="1" applyBorder="1" applyAlignment="1">
      <alignment horizontal="left" vertical="top" wrapText="1"/>
    </xf>
    <xf numFmtId="0" fontId="11" fillId="0" borderId="18" xfId="4" applyFont="1" applyBorder="1" applyAlignment="1">
      <alignment vertical="top" wrapText="1"/>
    </xf>
    <xf numFmtId="0" fontId="11" fillId="0" borderId="22" xfId="4" applyFont="1" applyBorder="1" applyAlignment="1">
      <alignment vertical="top" wrapText="1"/>
    </xf>
    <xf numFmtId="0" fontId="8" fillId="0" borderId="22" xfId="4" applyBorder="1" applyAlignment="1">
      <alignment horizontal="center" vertical="top" wrapText="1"/>
    </xf>
    <xf numFmtId="0" fontId="8" fillId="0" borderId="18" xfId="4" applyBorder="1" applyAlignment="1">
      <alignment horizontal="center" vertical="top" wrapText="1"/>
    </xf>
    <xf numFmtId="0" fontId="0" fillId="0" borderId="23" xfId="0" applyBorder="1" applyProtection="1">
      <protection locked="0"/>
    </xf>
    <xf numFmtId="9" fontId="13" fillId="0" borderId="0" xfId="4" applyNumberFormat="1" applyFont="1" applyAlignment="1">
      <alignment horizontal="left" vertical="top" wrapText="1"/>
    </xf>
    <xf numFmtId="9" fontId="13" fillId="0" borderId="14" xfId="4" applyNumberFormat="1" applyFont="1" applyBorder="1" applyAlignment="1">
      <alignment horizontal="left" vertical="top" wrapText="1"/>
    </xf>
    <xf numFmtId="0" fontId="11" fillId="5" borderId="0" xfId="4" applyFont="1" applyFill="1" applyAlignment="1">
      <alignment vertical="top" wrapText="1"/>
    </xf>
    <xf numFmtId="9" fontId="13" fillId="0" borderId="0" xfId="4" applyNumberFormat="1" applyFont="1" applyAlignment="1">
      <alignment horizontal="center" vertical="top" wrapText="1"/>
    </xf>
    <xf numFmtId="9" fontId="13" fillId="0" borderId="14" xfId="4" applyNumberFormat="1" applyFont="1" applyBorder="1" applyAlignment="1">
      <alignment horizontal="center" vertical="top" wrapText="1"/>
    </xf>
    <xf numFmtId="0" fontId="11" fillId="5" borderId="0" xfId="4" applyFont="1" applyFill="1" applyAlignment="1">
      <alignment horizontal="left" vertical="top"/>
    </xf>
    <xf numFmtId="0" fontId="8" fillId="0" borderId="1" xfId="4" applyBorder="1">
      <alignment vertical="top" wrapText="1"/>
    </xf>
    <xf numFmtId="0" fontId="8" fillId="0" borderId="2" xfId="4" applyBorder="1">
      <alignment vertical="top" wrapText="1"/>
    </xf>
    <xf numFmtId="0" fontId="8" fillId="0" borderId="10" xfId="4" applyBorder="1">
      <alignment vertical="top" wrapText="1"/>
    </xf>
    <xf numFmtId="0" fontId="8" fillId="0" borderId="7" xfId="4" applyBorder="1">
      <alignment vertical="top" wrapText="1"/>
    </xf>
    <xf numFmtId="0" fontId="8" fillId="0" borderId="0" xfId="4" applyBorder="1">
      <alignment vertical="top" wrapText="1"/>
    </xf>
    <xf numFmtId="0" fontId="8" fillId="0" borderId="9" xfId="4" applyBorder="1">
      <alignment vertical="top" wrapText="1"/>
    </xf>
    <xf numFmtId="0" fontId="8" fillId="0" borderId="4" xfId="4" applyBorder="1">
      <alignment vertical="top" wrapText="1"/>
    </xf>
    <xf numFmtId="0" fontId="8" fillId="0" borderId="5" xfId="4" applyBorder="1">
      <alignment vertical="top" wrapText="1"/>
    </xf>
    <xf numFmtId="0" fontId="8" fillId="0" borderId="8" xfId="4" applyBorder="1">
      <alignment vertical="top" wrapText="1"/>
    </xf>
    <xf numFmtId="0" fontId="11" fillId="0" borderId="32" xfId="4" applyFont="1" applyBorder="1" applyAlignment="1">
      <alignment horizontal="left" vertical="top" wrapText="1"/>
    </xf>
    <xf numFmtId="0" fontId="11" fillId="0" borderId="31" xfId="4" applyFont="1" applyBorder="1" applyAlignment="1">
      <alignment horizontal="left" vertical="center" wrapText="1"/>
    </xf>
    <xf numFmtId="0" fontId="11" fillId="0" borderId="33" xfId="4" applyFont="1" applyBorder="1" applyAlignment="1">
      <alignment horizontal="center" vertical="top" wrapText="1"/>
    </xf>
    <xf numFmtId="0" fontId="11" fillId="0" borderId="34" xfId="4" applyFont="1" applyBorder="1" applyAlignment="1">
      <alignment horizontal="center" vertical="top" wrapText="1"/>
    </xf>
    <xf numFmtId="0" fontId="11" fillId="0" borderId="35" xfId="4" applyFont="1" applyBorder="1" applyAlignment="1">
      <alignment horizontal="center" vertical="top" wrapText="1"/>
    </xf>
    <xf numFmtId="0" fontId="11" fillId="0" borderId="36" xfId="4" applyFont="1" applyBorder="1" applyAlignment="1">
      <alignment horizontal="left" vertical="center" wrapText="1"/>
    </xf>
    <xf numFmtId="0" fontId="11" fillId="0" borderId="34" xfId="4" applyFont="1" applyBorder="1" applyAlignment="1">
      <alignment horizontal="left" vertical="top" wrapText="1"/>
    </xf>
    <xf numFmtId="0" fontId="8" fillId="5" borderId="0" xfId="4" applyFill="1" applyAlignment="1">
      <alignment horizontal="left" vertical="top"/>
    </xf>
    <xf numFmtId="0" fontId="8" fillId="0" borderId="0" xfId="4" quotePrefix="1">
      <alignment vertical="top" wrapText="1"/>
    </xf>
    <xf numFmtId="43" fontId="12" fillId="0" borderId="0" xfId="1" applyFont="1" applyBorder="1" applyAlignment="1">
      <alignment vertical="top" wrapText="1"/>
    </xf>
    <xf numFmtId="0" fontId="19" fillId="0" borderId="0" xfId="0" applyFont="1" applyProtection="1"/>
    <xf numFmtId="0" fontId="6" fillId="2" borderId="1" xfId="0" applyFont="1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0" fillId="0" borderId="0" xfId="0" applyFont="1" applyProtection="1"/>
    <xf numFmtId="0" fontId="20" fillId="0" borderId="0" xfId="0" applyFont="1"/>
    <xf numFmtId="44" fontId="0" fillId="0" borderId="0" xfId="0" applyNumberFormat="1" applyFill="1" applyBorder="1" applyProtection="1"/>
    <xf numFmtId="0" fontId="6" fillId="0" borderId="7" xfId="0" applyFont="1" applyBorder="1" applyProtection="1"/>
    <xf numFmtId="0" fontId="0" fillId="0" borderId="0" xfId="0" applyBorder="1" applyProtection="1"/>
    <xf numFmtId="0" fontId="0" fillId="0" borderId="12" xfId="0" applyBorder="1" applyProtection="1">
      <protection locked="0"/>
    </xf>
    <xf numFmtId="39" fontId="0" fillId="0" borderId="12" xfId="1" applyNumberFormat="1" applyFont="1" applyBorder="1" applyProtection="1">
      <protection locked="0" hidden="1"/>
    </xf>
    <xf numFmtId="0" fontId="18" fillId="0" borderId="0" xfId="0" applyFont="1" applyBorder="1" applyProtection="1"/>
    <xf numFmtId="43" fontId="0" fillId="3" borderId="12" xfId="1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10" fillId="0" borderId="15" xfId="4" applyFont="1" applyBorder="1" applyAlignment="1">
      <alignment horizontal="center" vertical="top" wrapText="1"/>
    </xf>
    <xf numFmtId="0" fontId="11" fillId="0" borderId="14" xfId="4" applyFont="1" applyBorder="1" applyAlignment="1">
      <alignment horizontal="left" vertical="top" wrapText="1"/>
    </xf>
    <xf numFmtId="0" fontId="11" fillId="0" borderId="30" xfId="4" applyFont="1" applyBorder="1" applyAlignment="1">
      <alignment horizontal="left" vertical="top" wrapText="1"/>
    </xf>
    <xf numFmtId="0" fontId="11" fillId="0" borderId="26" xfId="4" applyFont="1" applyBorder="1" applyAlignment="1">
      <alignment horizontal="left" vertical="top" wrapText="1"/>
    </xf>
    <xf numFmtId="0" fontId="11" fillId="0" borderId="27" xfId="4" applyFont="1" applyBorder="1" applyAlignment="1">
      <alignment horizontal="left" vertical="top" wrapText="1"/>
    </xf>
    <xf numFmtId="0" fontId="11" fillId="0" borderId="28" xfId="4" applyFont="1" applyBorder="1" applyAlignment="1">
      <alignment horizontal="left" vertical="top" wrapText="1"/>
    </xf>
    <xf numFmtId="0" fontId="13" fillId="0" borderId="29" xfId="4" applyFont="1" applyBorder="1" applyAlignment="1">
      <alignment horizontal="left" vertical="top" wrapText="1"/>
    </xf>
    <xf numFmtId="0" fontId="13" fillId="0" borderId="14" xfId="4" applyFont="1" applyBorder="1" applyAlignment="1">
      <alignment horizontal="left" vertical="top" wrapText="1"/>
    </xf>
    <xf numFmtId="0" fontId="13" fillId="0" borderId="30" xfId="4" applyFont="1" applyBorder="1" applyAlignment="1">
      <alignment horizontal="left" vertical="top" wrapText="1"/>
    </xf>
    <xf numFmtId="0" fontId="11" fillId="0" borderId="31" xfId="4" applyFont="1" applyBorder="1" applyAlignment="1">
      <alignment horizontal="left" vertical="top" wrapText="1"/>
    </xf>
    <xf numFmtId="0" fontId="11" fillId="0" borderId="19" xfId="4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</cellXfs>
  <cellStyles count="5">
    <cellStyle name="Comma" xfId="1" builtinId="3"/>
    <cellStyle name="Currency" xfId="3" builtinId="4"/>
    <cellStyle name="Normal" xfId="0" builtinId="0"/>
    <cellStyle name="Normal 2" xfId="4" xr:uid="{0ADF7E38-5250-487C-A022-7EFD71829762}"/>
    <cellStyle name="Percent" xfId="2" builtinId="5"/>
  </cellStyles>
  <dxfs count="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20</xdr:col>
      <xdr:colOff>446781</xdr:colOff>
      <xdr:row>15</xdr:row>
      <xdr:rowOff>114070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5050" y="1162050"/>
          <a:ext cx="7152381" cy="1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20</xdr:col>
      <xdr:colOff>311496</xdr:colOff>
      <xdr:row>27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3467100"/>
          <a:ext cx="7017096" cy="18097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0</xdr:rowOff>
    </xdr:from>
    <xdr:to>
      <xdr:col>20</xdr:col>
      <xdr:colOff>440159</xdr:colOff>
      <xdr:row>39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5050" y="5762625"/>
          <a:ext cx="7145759" cy="1828800"/>
        </a:xfrm>
        <a:prstGeom prst="rect">
          <a:avLst/>
        </a:prstGeom>
      </xdr:spPr>
    </xdr:pic>
    <xdr:clientData/>
  </xdr:twoCellAnchor>
  <xdr:twoCellAnchor editAs="oneCell">
    <xdr:from>
      <xdr:col>8</xdr:col>
      <xdr:colOff>514350</xdr:colOff>
      <xdr:row>43</xdr:row>
      <xdr:rowOff>152400</xdr:rowOff>
    </xdr:from>
    <xdr:to>
      <xdr:col>20</xdr:col>
      <xdr:colOff>484864</xdr:colOff>
      <xdr:row>53</xdr:row>
      <xdr:rowOff>104543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38875" y="8391525"/>
          <a:ext cx="7285714" cy="1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43"/>
  <sheetViews>
    <sheetView tabSelected="1" zoomScale="90" zoomScaleNormal="90" workbookViewId="0">
      <selection activeCell="G3" sqref="G3"/>
    </sheetView>
  </sheetViews>
  <sheetFormatPr defaultRowHeight="15" x14ac:dyDescent="0.25"/>
  <cols>
    <col min="1" max="1" width="1.42578125" customWidth="1"/>
    <col min="2" max="2" width="18.42578125" bestFit="1" customWidth="1"/>
    <col min="3" max="3" width="33.85546875" bestFit="1" customWidth="1"/>
    <col min="4" max="4" width="3.140625" customWidth="1"/>
    <col min="5" max="5" width="14.42578125" customWidth="1"/>
    <col min="6" max="6" width="7.28515625" customWidth="1"/>
    <col min="7" max="7" width="10.5703125" customWidth="1"/>
    <col min="8" max="8" width="1.42578125" customWidth="1"/>
    <col min="9" max="9" width="11.5703125" bestFit="1" customWidth="1"/>
    <col min="11" max="11" width="11.5703125" bestFit="1" customWidth="1"/>
    <col min="12" max="12" width="10.85546875" bestFit="1" customWidth="1"/>
    <col min="13" max="13" width="9.5703125" style="50" bestFit="1" customWidth="1"/>
  </cols>
  <sheetData>
    <row r="1" spans="2:8" ht="6" customHeight="1" x14ac:dyDescent="0.25"/>
    <row r="2" spans="2:8" ht="21" x14ac:dyDescent="0.35">
      <c r="B2" s="133" t="s">
        <v>135</v>
      </c>
      <c r="C2" s="133"/>
      <c r="D2" s="133"/>
      <c r="E2" s="134"/>
      <c r="F2" s="134"/>
      <c r="G2" s="133">
        <v>2021</v>
      </c>
    </row>
    <row r="3" spans="2:8" ht="8.25" customHeight="1" thickBot="1" x14ac:dyDescent="0.35">
      <c r="B3" s="128"/>
      <c r="C3" s="128"/>
      <c r="D3" s="128"/>
      <c r="E3" s="128"/>
    </row>
    <row r="4" spans="2:8" ht="10.5" customHeight="1" x14ac:dyDescent="0.25">
      <c r="B4" s="129"/>
      <c r="C4" s="130"/>
      <c r="D4" s="130"/>
      <c r="E4" s="131"/>
      <c r="F4" s="131"/>
      <c r="G4" s="132"/>
    </row>
    <row r="5" spans="2:8" x14ac:dyDescent="0.25">
      <c r="B5" s="27" t="s">
        <v>142</v>
      </c>
      <c r="C5" s="24"/>
      <c r="D5" s="24"/>
      <c r="E5" s="43" t="s">
        <v>10</v>
      </c>
      <c r="F5" s="41"/>
      <c r="G5" s="42"/>
    </row>
    <row r="6" spans="2:8" ht="10.5" customHeight="1" x14ac:dyDescent="0.25">
      <c r="B6" s="30"/>
      <c r="C6" s="31"/>
      <c r="D6" s="31"/>
      <c r="E6" s="48"/>
      <c r="F6" s="45"/>
      <c r="G6" s="46"/>
    </row>
    <row r="7" spans="2:8" x14ac:dyDescent="0.25">
      <c r="B7" s="27" t="s">
        <v>31</v>
      </c>
      <c r="C7" s="24" t="s">
        <v>0</v>
      </c>
      <c r="D7" s="24"/>
      <c r="E7" s="137"/>
      <c r="F7" s="41"/>
      <c r="G7" s="47">
        <v>0</v>
      </c>
    </row>
    <row r="8" spans="2:8" ht="10.5" customHeight="1" x14ac:dyDescent="0.25">
      <c r="B8" s="30"/>
      <c r="C8" s="31"/>
      <c r="D8" s="31"/>
      <c r="E8" s="48"/>
      <c r="F8" s="45"/>
      <c r="G8" s="46"/>
    </row>
    <row r="9" spans="2:8" x14ac:dyDescent="0.25">
      <c r="B9" s="136" t="s">
        <v>136</v>
      </c>
      <c r="C9" s="137" t="s">
        <v>137</v>
      </c>
      <c r="D9" s="137"/>
      <c r="E9" s="137"/>
      <c r="F9" s="137"/>
      <c r="G9" s="138" t="s">
        <v>138</v>
      </c>
    </row>
    <row r="10" spans="2:8" x14ac:dyDescent="0.25">
      <c r="B10" s="136"/>
      <c r="C10" s="137" t="s">
        <v>139</v>
      </c>
      <c r="D10" s="137"/>
      <c r="E10" s="137"/>
      <c r="F10" s="137"/>
      <c r="G10" s="139">
        <v>0</v>
      </c>
      <c r="H10" s="142">
        <f>IF(G10&lt;5250,0,G10-5250)</f>
        <v>0</v>
      </c>
    </row>
    <row r="11" spans="2:8" x14ac:dyDescent="0.25">
      <c r="B11" s="136"/>
      <c r="C11" s="137" t="str">
        <f>IF(G9&lt;&gt;"Spring","Waiver received for Summer semester","")</f>
        <v/>
      </c>
      <c r="D11" s="140"/>
      <c r="E11" s="137"/>
      <c r="F11" s="140"/>
      <c r="G11" s="139"/>
      <c r="H11" s="142">
        <f>IF(G10+G11&lt;5250,0,G10+G11-5250-H10)</f>
        <v>0</v>
      </c>
    </row>
    <row r="12" spans="2:8" x14ac:dyDescent="0.25">
      <c r="B12" s="136"/>
      <c r="C12" s="137" t="str">
        <f>IF(G9="Fall","Waiver received for Fall semester","")</f>
        <v/>
      </c>
      <c r="D12" s="140"/>
      <c r="E12" s="137"/>
      <c r="F12" s="140"/>
      <c r="G12" s="139"/>
      <c r="H12" s="142">
        <f>IF(G10+G11+G12&lt;5250,0,G10+G11+G12-5250-H11-H10)</f>
        <v>0</v>
      </c>
    </row>
    <row r="13" spans="2:8" ht="10.5" customHeight="1" x14ac:dyDescent="0.25">
      <c r="B13" s="30"/>
      <c r="C13" s="31"/>
      <c r="D13" s="31"/>
      <c r="E13" s="48"/>
      <c r="F13" s="45"/>
      <c r="G13" s="46"/>
    </row>
    <row r="14" spans="2:8" x14ac:dyDescent="0.25">
      <c r="B14" s="27" t="s">
        <v>29</v>
      </c>
      <c r="C14" s="25" t="s">
        <v>40</v>
      </c>
      <c r="D14" s="24"/>
      <c r="E14" s="43" t="s">
        <v>93</v>
      </c>
      <c r="F14" s="41"/>
      <c r="G14" s="42"/>
    </row>
    <row r="15" spans="2:8" ht="28.5" customHeight="1" x14ac:dyDescent="0.25">
      <c r="B15" s="27"/>
      <c r="C15" s="25" t="s">
        <v>104</v>
      </c>
      <c r="D15" s="24"/>
      <c r="E15" s="102" t="s">
        <v>11</v>
      </c>
      <c r="F15" s="41"/>
      <c r="G15" s="42"/>
    </row>
    <row r="16" spans="2:8" ht="15.75" customHeight="1" x14ac:dyDescent="0.25">
      <c r="B16" s="27"/>
      <c r="C16" s="24"/>
      <c r="D16" s="24"/>
      <c r="E16" s="41"/>
      <c r="F16" s="41"/>
      <c r="G16" s="42"/>
    </row>
    <row r="17" spans="2:12" x14ac:dyDescent="0.25">
      <c r="B17" s="27" t="s">
        <v>93</v>
      </c>
      <c r="C17" s="24" t="s">
        <v>3</v>
      </c>
      <c r="D17" s="24"/>
      <c r="E17" s="43"/>
      <c r="F17" s="41"/>
      <c r="G17" s="42"/>
    </row>
    <row r="18" spans="2:12" x14ac:dyDescent="0.25">
      <c r="B18" s="27"/>
      <c r="C18" s="24" t="s">
        <v>4</v>
      </c>
      <c r="D18" s="24"/>
      <c r="E18" s="43"/>
      <c r="F18" s="41"/>
      <c r="G18" s="42"/>
    </row>
    <row r="19" spans="2:12" x14ac:dyDescent="0.25">
      <c r="B19" s="27"/>
      <c r="C19" s="24" t="s">
        <v>5</v>
      </c>
      <c r="D19" s="24" t="s">
        <v>44</v>
      </c>
      <c r="E19" s="44"/>
      <c r="F19" s="41"/>
      <c r="G19" s="42"/>
    </row>
    <row r="20" spans="2:12" ht="15.75" customHeight="1" x14ac:dyDescent="0.25">
      <c r="B20" s="27"/>
      <c r="C20" s="25"/>
      <c r="D20" s="24"/>
      <c r="E20" s="41"/>
      <c r="F20" s="41"/>
      <c r="G20" s="42"/>
    </row>
    <row r="21" spans="2:12" x14ac:dyDescent="0.25">
      <c r="B21" s="27" t="s">
        <v>94</v>
      </c>
      <c r="C21" s="24" t="s">
        <v>99</v>
      </c>
      <c r="D21" s="24"/>
      <c r="E21" s="143"/>
      <c r="F21" s="144"/>
      <c r="G21" s="145"/>
    </row>
    <row r="22" spans="2:12" x14ac:dyDescent="0.25">
      <c r="B22" s="27"/>
      <c r="C22" s="24" t="s">
        <v>95</v>
      </c>
      <c r="D22" s="24"/>
      <c r="E22" s="102"/>
      <c r="F22" s="41"/>
      <c r="G22" s="42"/>
    </row>
    <row r="23" spans="2:12" x14ac:dyDescent="0.25">
      <c r="B23" s="27"/>
      <c r="C23" s="24" t="s">
        <v>100</v>
      </c>
      <c r="D23" s="24" t="s">
        <v>44</v>
      </c>
      <c r="E23" s="44"/>
      <c r="F23" s="41"/>
      <c r="G23" s="42"/>
    </row>
    <row r="24" spans="2:12" x14ac:dyDescent="0.25">
      <c r="B24" s="27"/>
      <c r="C24" s="29" t="s">
        <v>101</v>
      </c>
      <c r="D24" s="24" t="s">
        <v>44</v>
      </c>
      <c r="E24" s="44"/>
      <c r="F24" s="41"/>
      <c r="G24" s="42"/>
    </row>
    <row r="25" spans="2:12" x14ac:dyDescent="0.25">
      <c r="B25" s="27"/>
      <c r="C25" s="29" t="s">
        <v>102</v>
      </c>
      <c r="D25" s="24" t="s">
        <v>44</v>
      </c>
      <c r="E25" s="44"/>
      <c r="F25" s="41"/>
      <c r="G25" s="42"/>
    </row>
    <row r="26" spans="2:12" x14ac:dyDescent="0.25">
      <c r="B26" s="27"/>
      <c r="C26" s="29" t="s">
        <v>103</v>
      </c>
      <c r="D26" s="29" t="s">
        <v>44</v>
      </c>
      <c r="E26" s="44"/>
      <c r="F26" s="41"/>
      <c r="G26" s="42"/>
    </row>
    <row r="27" spans="2:12" ht="15" customHeight="1" x14ac:dyDescent="0.25">
      <c r="B27" s="27"/>
      <c r="C27" s="25"/>
      <c r="D27" s="24"/>
      <c r="E27" s="41"/>
      <c r="F27" s="41"/>
      <c r="G27" s="42"/>
    </row>
    <row r="28" spans="2:12" x14ac:dyDescent="0.25">
      <c r="B28" s="27" t="s">
        <v>30</v>
      </c>
      <c r="C28" s="24" t="s">
        <v>6</v>
      </c>
      <c r="D28" s="24"/>
      <c r="E28" s="43">
        <v>1</v>
      </c>
      <c r="F28" s="41"/>
      <c r="G28" s="42"/>
    </row>
    <row r="29" spans="2:12" ht="10.5" customHeight="1" x14ac:dyDescent="0.25">
      <c r="B29" s="30"/>
      <c r="C29" s="31"/>
      <c r="D29" s="31"/>
      <c r="E29" s="48"/>
      <c r="F29" s="45"/>
      <c r="G29" s="46"/>
    </row>
    <row r="30" spans="2:12" ht="15" customHeight="1" x14ac:dyDescent="0.25">
      <c r="B30" s="136" t="s">
        <v>143</v>
      </c>
      <c r="C30" s="137" t="s">
        <v>144</v>
      </c>
      <c r="D30" s="137"/>
      <c r="E30" s="137"/>
      <c r="F30" s="137"/>
      <c r="G30" s="141">
        <f>IF(G9="spring",H10,IF(G9="summer",H11,H12))</f>
        <v>0</v>
      </c>
    </row>
    <row r="31" spans="2:12" ht="15" customHeight="1" x14ac:dyDescent="0.25">
      <c r="B31" s="136"/>
      <c r="C31" s="137" t="s">
        <v>145</v>
      </c>
      <c r="D31" s="137"/>
      <c r="E31" s="137"/>
      <c r="F31" s="137"/>
      <c r="G31" s="141">
        <f>+IF(AND(G9="summer",E5="monthly"),G30,IF(AND(G9="summer",E5="semi-monthly"),G30,IF(E5="Monthly",G30/2,G30/4)))</f>
        <v>0</v>
      </c>
    </row>
    <row r="32" spans="2:12" ht="9" customHeight="1" x14ac:dyDescent="0.25">
      <c r="B32" s="33"/>
      <c r="C32" s="31"/>
      <c r="D32" s="31"/>
      <c r="E32" s="48"/>
      <c r="F32" s="45"/>
      <c r="G32" s="32"/>
      <c r="I32" s="8"/>
      <c r="L32" s="8"/>
    </row>
    <row r="33" spans="2:10" x14ac:dyDescent="0.25">
      <c r="B33" s="27" t="s">
        <v>32</v>
      </c>
      <c r="C33" s="24" t="s">
        <v>1</v>
      </c>
      <c r="D33" s="24"/>
      <c r="E33" s="41"/>
      <c r="F33" s="41"/>
      <c r="G33" s="34">
        <f>G31+G7</f>
        <v>0</v>
      </c>
      <c r="J33" s="40"/>
    </row>
    <row r="34" spans="2:10" x14ac:dyDescent="0.25">
      <c r="B34" s="27"/>
      <c r="C34" s="24" t="str">
        <f>IF(E15="yes","NRA Federal Taxable Gross","Federal Taxable Gross")</f>
        <v>Federal Taxable Gross</v>
      </c>
      <c r="D34" s="24"/>
      <c r="E34" s="61" t="str">
        <f>+IF(E15="yes",G34-NRA!C22,"")</f>
        <v/>
      </c>
      <c r="F34" s="41"/>
      <c r="G34" s="34">
        <f>IF(H34&lt;0,0,H34)</f>
        <v>0</v>
      </c>
      <c r="H34" s="2">
        <f>$G31+$G7+NRA!C22</f>
        <v>0</v>
      </c>
      <c r="I34" s="2"/>
      <c r="J34" s="40"/>
    </row>
    <row r="35" spans="2:10" x14ac:dyDescent="0.25">
      <c r="B35" s="27"/>
      <c r="C35" s="24" t="s">
        <v>2</v>
      </c>
      <c r="D35" s="24"/>
      <c r="E35" s="41"/>
      <c r="F35" s="41"/>
      <c r="G35" s="34">
        <f>IF(H35&lt;0,0,H35)</f>
        <v>0</v>
      </c>
      <c r="H35" s="2">
        <f>$G31+$G7</f>
        <v>0</v>
      </c>
      <c r="J35" s="40"/>
    </row>
    <row r="36" spans="2:10" x14ac:dyDescent="0.25">
      <c r="B36" s="27"/>
      <c r="C36" s="24"/>
      <c r="D36" s="24"/>
      <c r="E36" s="41"/>
      <c r="F36" s="41"/>
      <c r="G36" s="28"/>
      <c r="H36" s="2"/>
      <c r="I36" s="2"/>
    </row>
    <row r="37" spans="2:10" x14ac:dyDescent="0.25">
      <c r="B37" s="27" t="s">
        <v>33</v>
      </c>
      <c r="C37" s="24" t="s">
        <v>134</v>
      </c>
      <c r="D37" s="24"/>
      <c r="E37" s="43" t="s">
        <v>11</v>
      </c>
      <c r="F37" s="41"/>
      <c r="G37" s="34">
        <f>IF(E37="No",0,IF(G$41&lt;0.01,0,IF(G$41&lt;(G$33*0.0765),G$41,ROUND(G$33*0.0765,2))))</f>
        <v>0</v>
      </c>
      <c r="H37" s="1"/>
      <c r="I37" s="9"/>
    </row>
    <row r="38" spans="2:10" x14ac:dyDescent="0.25">
      <c r="B38" s="27"/>
      <c r="C38" s="24" t="s">
        <v>7</v>
      </c>
      <c r="D38" s="24"/>
      <c r="E38" s="41"/>
      <c r="G38" s="49">
        <f>'Table 1'!F44</f>
        <v>0</v>
      </c>
      <c r="H38" s="54">
        <f>IF(E5="Semi-Monthly",IF(E17="Married",((VLOOKUP(((G34*24)-(E18*'Fed Tax Table'!E30)),'Fed Tax Table'!B10:G18,4))+(VLOOKUP(((G34*24)-(E18*'Fed Tax Table'!E30)),'Fed Tax Table'!B10:G18,5))*(((G34*24)-E18*'Fed Tax Table'!E30)-VLOOKUP(((G34*24)-(E18*'Fed Tax Table'!E30)),'Fed Tax Table'!B10:G18,6)))/24,((VLOOKUP(((G34*24)-(E18*'Fed Tax Table'!E30)),'Fed Tax Table'!B20:G28,4))+(VLOOKUP(((G34*24)-(E18*'Fed Tax Table'!E30)),'Fed Tax Table'!B20:G28,5))*(((G34*24)-E18*'Fed Tax Table'!E30)-VLOOKUP(((G34*24)-(E18*'Fed Tax Table'!E30)),'Fed Tax Table'!B20:G28,6)))/24),IF(E17="Married",((VLOOKUP(((G34*12)-(E18*'Fed Tax Table'!E30)),'Fed Tax Table'!B10:G18,4))+(VLOOKUP(((G34*12)-(E18*'Fed Tax Table'!E30)),'Fed Tax Table'!B10:G18,5))*(((G34*12)-E18*'Fed Tax Table'!E30)-VLOOKUP(((G34*12)-(E18*'Fed Tax Table'!E30)),'Fed Tax Table'!B10:G18,6)))/12,((VLOOKUP(((G34*12)-(E18*'Fed Tax Table'!E30)),'Fed Tax Table'!B20:G28,4))+(VLOOKUP(((G34*12)-(E18*'Fed Tax Table'!E30)),'Fed Tax Table'!B20:G28,5))*(((G34*12)-E18*'Fed Tax Table'!E30)-VLOOKUP(((G34*12)-(E18*'Fed Tax Table'!E30)),'Fed Tax Table'!B20:G28,6)))/12))+E19</f>
        <v>0</v>
      </c>
      <c r="I38" s="51"/>
    </row>
    <row r="39" spans="2:10" x14ac:dyDescent="0.25">
      <c r="B39" s="27"/>
      <c r="C39" s="24" t="s">
        <v>8</v>
      </c>
      <c r="D39" s="24"/>
      <c r="E39" s="41"/>
      <c r="G39" s="49">
        <f>IF(H39&lt;0,0,IF(G41-G37-G38&lt;0.01,0,IF(G41-G37-G38&lt;H39,G41-G37-G38,H39)))</f>
        <v>0</v>
      </c>
      <c r="H39" s="135">
        <f>IF(E5="Semi-Monthly",ROUND(ROUND(((G35*24-E28*'Fed Tax Table'!D33))*'Fed Tax Table'!D32,2)/24,2),ROUND(ROUND(((G35*12-E28*'Fed Tax Table'!D33))*'Fed Tax Table'!D32,2)/12,2))</f>
        <v>-4.9000000000000004</v>
      </c>
      <c r="I39" s="1"/>
    </row>
    <row r="40" spans="2:10" ht="10.5" customHeight="1" x14ac:dyDescent="0.25">
      <c r="B40" s="33"/>
      <c r="C40" s="31"/>
      <c r="D40" s="31"/>
      <c r="E40" s="26"/>
      <c r="F40" s="31"/>
      <c r="G40" s="32"/>
    </row>
    <row r="41" spans="2:10" ht="15" customHeight="1" x14ac:dyDescent="0.25">
      <c r="B41" s="38" t="s">
        <v>34</v>
      </c>
      <c r="C41" s="29" t="s">
        <v>31</v>
      </c>
      <c r="D41" s="29"/>
      <c r="E41" s="29"/>
      <c r="F41" s="29"/>
      <c r="G41" s="34">
        <f>+G7</f>
        <v>0</v>
      </c>
    </row>
    <row r="42" spans="2:10" ht="15" customHeight="1" x14ac:dyDescent="0.25">
      <c r="B42" s="36"/>
      <c r="C42" s="29" t="s">
        <v>35</v>
      </c>
      <c r="D42" s="29"/>
      <c r="E42" s="55"/>
      <c r="F42" s="29"/>
      <c r="G42" s="34">
        <f>+G37+G38+G39</f>
        <v>0</v>
      </c>
    </row>
    <row r="43" spans="2:10" ht="15.75" thickBot="1" x14ac:dyDescent="0.3">
      <c r="B43" s="35"/>
      <c r="C43" s="37" t="s">
        <v>9</v>
      </c>
      <c r="D43" s="37"/>
      <c r="E43" s="56"/>
      <c r="F43" s="37"/>
      <c r="G43" s="39">
        <f>IF(G41-G42&lt;0,0,G41-G42)</f>
        <v>0</v>
      </c>
    </row>
  </sheetData>
  <sheetProtection algorithmName="SHA-512" hashValue="qT9Ma9AsiCgJdjgWO4T0kg6kZe7Wf9pHqU4Ff9dHYh6W8w6ewStUEF8kbhmYYHCsCyPQpRY1jnf6kMD/43y17w==" saltValue="CqGt4L1vXaxhe+n0+okCIw==" spinCount="100000" sheet="1" objects="1" scenarios="1"/>
  <mergeCells count="1">
    <mergeCell ref="E21:G21"/>
  </mergeCells>
  <conditionalFormatting sqref="G43">
    <cfRule type="cellIs" dxfId="5" priority="7" operator="lessThan">
      <formula>0.01</formula>
    </cfRule>
  </conditionalFormatting>
  <conditionalFormatting sqref="E17:E19">
    <cfRule type="expression" dxfId="4" priority="6">
      <formula>$E$14="2020 or later"</formula>
    </cfRule>
  </conditionalFormatting>
  <conditionalFormatting sqref="E22:E26">
    <cfRule type="expression" dxfId="3" priority="4">
      <formula>$E$14="2019 or earlier"</formula>
    </cfRule>
  </conditionalFormatting>
  <conditionalFormatting sqref="E21">
    <cfRule type="expression" dxfId="2" priority="3">
      <formula>$E$14="2019 or earlier"</formula>
    </cfRule>
  </conditionalFormatting>
  <conditionalFormatting sqref="G11:G12">
    <cfRule type="expression" dxfId="1" priority="2">
      <formula>$G$9="Spring"</formula>
    </cfRule>
  </conditionalFormatting>
  <conditionalFormatting sqref="G12">
    <cfRule type="expression" dxfId="0" priority="1">
      <formula>$G$9="Summer"</formula>
    </cfRule>
  </conditionalFormatting>
  <dataValidations disablePrompts="1" count="6">
    <dataValidation type="list" allowBlank="1" showInputMessage="1" showErrorMessage="1" sqref="E17" xr:uid="{00000000-0002-0000-0000-000000000000}">
      <formula1>"Single, Married, Married but Single"</formula1>
    </dataValidation>
    <dataValidation type="list" allowBlank="1" showInputMessage="1" showErrorMessage="1" sqref="E37" xr:uid="{00000000-0002-0000-0000-000001000000}">
      <formula1>"No, Yes"</formula1>
    </dataValidation>
    <dataValidation type="list" allowBlank="1" showInputMessage="1" showErrorMessage="1" sqref="E14" xr:uid="{3A6E8E74-7345-4AE9-91C7-A6EA613C0DFF}">
      <formula1>"2019 or earlier, 2020 or later"</formula1>
    </dataValidation>
    <dataValidation type="list" allowBlank="1" showInputMessage="1" showErrorMessage="1" sqref="E22 E15" xr:uid="{67402AFF-60BD-4B9C-BAD3-0A96820D897F}">
      <formula1>"Yes, No"</formula1>
    </dataValidation>
    <dataValidation type="list" allowBlank="1" showInputMessage="1" showErrorMessage="1" sqref="E21" xr:uid="{02649EE5-5D7A-43FD-A139-6D03AFFC701C}">
      <formula1>"Single or Married filing separately, Married filing jointly, Head of household"</formula1>
    </dataValidation>
    <dataValidation type="list" allowBlank="1" showInputMessage="1" showErrorMessage="1" sqref="E4:E5" xr:uid="{00000000-0002-0000-0000-000002000000}">
      <formula1>"Semi-Monthly, Monthly"</formula1>
    </dataValidation>
  </dataValidations>
  <pageMargins left="0.7" right="0.7" top="0.75" bottom="0.75" header="0.3" footer="0.3"/>
  <pageSetup scale="87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5B2936A5-013C-4EFA-A3E2-8465C4318973}">
          <x14:formula1>
            <xm:f>NRA!$E$1:$E$3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2EA2-AA59-4875-A0CB-615386ED66AA}">
  <sheetPr codeName="Sheet2">
    <pageSetUpPr fitToPage="1"/>
  </sheetPr>
  <dimension ref="A1:M51"/>
  <sheetViews>
    <sheetView workbookViewId="0"/>
  </sheetViews>
  <sheetFormatPr defaultColWidth="8.7109375" defaultRowHeight="12.75" x14ac:dyDescent="0.25"/>
  <cols>
    <col min="1" max="1" width="7.28515625" style="64" customWidth="1"/>
    <col min="2" max="2" width="6.5703125" style="64" customWidth="1"/>
    <col min="3" max="3" width="83.140625" style="64" customWidth="1"/>
    <col min="4" max="4" width="7.5703125" style="66" customWidth="1"/>
    <col min="5" max="5" width="2.5703125" style="64" customWidth="1"/>
    <col min="6" max="6" width="11.140625" style="67" customWidth="1"/>
    <col min="7" max="16384" width="8.7109375" style="64"/>
  </cols>
  <sheetData>
    <row r="1" spans="1:9" ht="25.5" customHeight="1" x14ac:dyDescent="0.25">
      <c r="A1" s="62" t="s">
        <v>39</v>
      </c>
      <c r="B1" s="63"/>
      <c r="C1" s="63"/>
      <c r="D1" s="146" t="s">
        <v>40</v>
      </c>
      <c r="E1" s="146"/>
      <c r="F1" s="62">
        <f>IF('G2N Calculation'!E14="2019 or earlier",2019,2020)</f>
        <v>2019</v>
      </c>
    </row>
    <row r="2" spans="1:9" ht="12.75" customHeight="1" x14ac:dyDescent="0.25">
      <c r="C2" s="65"/>
    </row>
    <row r="3" spans="1:9" ht="12.75" customHeight="1" x14ac:dyDescent="0.25">
      <c r="A3" s="65" t="s">
        <v>41</v>
      </c>
    </row>
    <row r="4" spans="1:9" ht="12.75" customHeight="1" x14ac:dyDescent="0.25">
      <c r="C4" s="68" t="s">
        <v>42</v>
      </c>
      <c r="D4" s="66" t="s">
        <v>43</v>
      </c>
      <c r="E4" s="64" t="s">
        <v>44</v>
      </c>
      <c r="F4" s="69">
        <f>IF('G2N Calculation'!E15="yes",'G2N Calculation'!E34,'G2N Calculation'!G34)</f>
        <v>0</v>
      </c>
    </row>
    <row r="5" spans="1:9" ht="12.75" customHeight="1" x14ac:dyDescent="0.25">
      <c r="C5" s="68" t="s">
        <v>109</v>
      </c>
      <c r="D5" s="66" t="s">
        <v>45</v>
      </c>
      <c r="F5" s="70">
        <f>IF('G2N Calculation'!E5="Monthly",12,24)</f>
        <v>24</v>
      </c>
    </row>
    <row r="6" spans="1:9" ht="12.75" customHeight="1" x14ac:dyDescent="0.25">
      <c r="C6" s="68" t="s">
        <v>46</v>
      </c>
      <c r="D6" s="66" t="s">
        <v>47</v>
      </c>
      <c r="E6" s="64" t="s">
        <v>44</v>
      </c>
      <c r="F6" s="71">
        <f>+ROUND(F4*F5,2)</f>
        <v>0</v>
      </c>
    </row>
    <row r="7" spans="1:9" ht="12.75" customHeight="1" x14ac:dyDescent="0.25">
      <c r="C7" s="68" t="s">
        <v>132</v>
      </c>
      <c r="F7" s="71">
        <f>IF(AND($F$1=2019,'G2N Calculation'!$E$15="yes"),F6+NRA!$C$12,IF(AND($F$1=2020,'G2N Calculation'!$E$15="yes"),F6+NRA!$C$20,F6))</f>
        <v>0</v>
      </c>
    </row>
    <row r="8" spans="1:9" ht="12.75" customHeight="1" x14ac:dyDescent="0.25">
      <c r="C8" s="68"/>
    </row>
    <row r="9" spans="1:9" ht="12.75" customHeight="1" x14ac:dyDescent="0.25">
      <c r="B9" s="68" t="s">
        <v>48</v>
      </c>
    </row>
    <row r="10" spans="1:9" ht="12.75" customHeight="1" x14ac:dyDescent="0.25">
      <c r="B10" s="68"/>
      <c r="C10" s="68" t="s">
        <v>110</v>
      </c>
      <c r="E10" s="64" t="s">
        <v>44</v>
      </c>
      <c r="F10" s="71">
        <f>+'G2N Calculation'!E24</f>
        <v>0</v>
      </c>
    </row>
    <row r="11" spans="1:9" ht="12.75" customHeight="1" x14ac:dyDescent="0.25">
      <c r="B11" s="68"/>
      <c r="C11" s="68" t="s">
        <v>111</v>
      </c>
      <c r="E11" s="64" t="s">
        <v>44</v>
      </c>
      <c r="F11" s="71">
        <f>+F7+F10</f>
        <v>0</v>
      </c>
      <c r="I11" s="126"/>
    </row>
    <row r="12" spans="1:9" ht="12.75" customHeight="1" x14ac:dyDescent="0.25">
      <c r="B12" s="68"/>
      <c r="C12" s="68" t="s">
        <v>112</v>
      </c>
      <c r="E12" s="64" t="s">
        <v>44</v>
      </c>
      <c r="F12" s="71">
        <f>+'G2N Calculation'!E25</f>
        <v>0</v>
      </c>
    </row>
    <row r="13" spans="1:9" ht="12.75" customHeight="1" x14ac:dyDescent="0.25">
      <c r="B13" s="68"/>
      <c r="C13" s="68" t="s">
        <v>113</v>
      </c>
    </row>
    <row r="14" spans="1:9" ht="12.75" customHeight="1" x14ac:dyDescent="0.25">
      <c r="B14" s="68"/>
      <c r="C14" s="68" t="s">
        <v>114</v>
      </c>
      <c r="E14" s="64" t="s">
        <v>44</v>
      </c>
      <c r="F14" s="71">
        <f>IF('G2N Calculation'!E22="yes",0,IF('G2N Calculation'!E21="Married filing jointly",12900,8600))</f>
        <v>8600</v>
      </c>
    </row>
    <row r="15" spans="1:9" ht="12.75" customHeight="1" x14ac:dyDescent="0.25">
      <c r="B15" s="68"/>
      <c r="C15" s="68" t="s">
        <v>115</v>
      </c>
      <c r="E15" s="64" t="s">
        <v>44</v>
      </c>
      <c r="F15" s="71">
        <f>+F12+F14</f>
        <v>8600</v>
      </c>
    </row>
    <row r="16" spans="1:9" ht="12.75" customHeight="1" x14ac:dyDescent="0.25">
      <c r="B16" s="68"/>
      <c r="C16" s="68" t="s">
        <v>116</v>
      </c>
      <c r="E16" s="64" t="s">
        <v>44</v>
      </c>
      <c r="F16" s="71">
        <f>+IF(F11-F15&lt;0,0,F11-F15)</f>
        <v>0</v>
      </c>
    </row>
    <row r="17" spans="1:13" ht="12.75" customHeight="1" x14ac:dyDescent="0.25">
      <c r="B17" s="68"/>
      <c r="C17" s="68"/>
      <c r="F17" s="127"/>
    </row>
    <row r="18" spans="1:13" ht="12.75" customHeight="1" x14ac:dyDescent="0.25">
      <c r="C18" s="68"/>
    </row>
    <row r="19" spans="1:13" ht="12.75" customHeight="1" x14ac:dyDescent="0.25">
      <c r="B19" s="68" t="s">
        <v>49</v>
      </c>
    </row>
    <row r="20" spans="1:13" ht="12.75" customHeight="1" x14ac:dyDescent="0.25">
      <c r="C20" s="68" t="s">
        <v>117</v>
      </c>
      <c r="D20" s="66" t="s">
        <v>50</v>
      </c>
      <c r="F20" s="70">
        <f>'G2N Calculation'!E18</f>
        <v>0</v>
      </c>
    </row>
    <row r="21" spans="1:13" ht="12.75" customHeight="1" x14ac:dyDescent="0.25">
      <c r="C21" s="68" t="s">
        <v>133</v>
      </c>
      <c r="D21" s="66" t="s">
        <v>51</v>
      </c>
      <c r="E21" s="64" t="s">
        <v>44</v>
      </c>
      <c r="F21" s="71">
        <f>+F20*'Fed Tax Table'!E30</f>
        <v>0</v>
      </c>
    </row>
    <row r="22" spans="1:13" ht="12.75" customHeight="1" x14ac:dyDescent="0.25">
      <c r="C22" s="68" t="s">
        <v>118</v>
      </c>
      <c r="D22" s="66" t="s">
        <v>52</v>
      </c>
      <c r="E22" s="64" t="s">
        <v>44</v>
      </c>
      <c r="F22" s="71">
        <f>+IF(F7-F21&lt;0,0,F7-F21)</f>
        <v>0</v>
      </c>
    </row>
    <row r="23" spans="1:13" ht="12.75" customHeight="1" x14ac:dyDescent="0.25">
      <c r="C23" s="68"/>
      <c r="F23" s="127"/>
    </row>
    <row r="24" spans="1:13" ht="12.75" customHeight="1" x14ac:dyDescent="0.25">
      <c r="C24" s="65"/>
    </row>
    <row r="25" spans="1:13" ht="12.75" customHeight="1" x14ac:dyDescent="0.25">
      <c r="A25" s="65" t="s">
        <v>53</v>
      </c>
    </row>
    <row r="26" spans="1:13" ht="33.75" x14ac:dyDescent="0.25">
      <c r="C26" s="72" t="s">
        <v>119</v>
      </c>
    </row>
    <row r="27" spans="1:13" ht="12.75" customHeight="1" x14ac:dyDescent="0.25">
      <c r="C27" s="68"/>
    </row>
    <row r="28" spans="1:13" ht="12.75" customHeight="1" x14ac:dyDescent="0.25">
      <c r="C28" s="68" t="s">
        <v>120</v>
      </c>
      <c r="D28" s="66" t="s">
        <v>54</v>
      </c>
      <c r="E28" s="64" t="s">
        <v>44</v>
      </c>
      <c r="F28" s="71">
        <f>IF($F$1=2019,F22,F16)</f>
        <v>0</v>
      </c>
    </row>
    <row r="29" spans="1:13" ht="23.25" thickBot="1" x14ac:dyDescent="0.25">
      <c r="C29" s="72" t="s">
        <v>126</v>
      </c>
      <c r="D29" s="73" t="s">
        <v>55</v>
      </c>
      <c r="E29" s="74" t="s">
        <v>44</v>
      </c>
      <c r="F29" s="75">
        <f>IF(AND(I$30="M",'G2N Calculation'!$E$22="yes"),K34,IF(AND(I$30="S",'G2N Calculation'!$E$22="yes"),L34,IF(AND(I$30="H",'G2N Calculation'!$E$22="yes"),M34,IF(I$30="M",H34,IF(I$30="S",I34,J34)))))</f>
        <v>0</v>
      </c>
    </row>
    <row r="30" spans="1:13" x14ac:dyDescent="0.2">
      <c r="C30" s="68" t="s">
        <v>122</v>
      </c>
      <c r="D30" s="66" t="s">
        <v>56</v>
      </c>
      <c r="E30" s="64" t="s">
        <v>44</v>
      </c>
      <c r="F30" s="75">
        <f>IF(AND(I$30="M",'G2N Calculation'!$E$22="yes"),K35,IF(AND(I$30="S",'G2N Calculation'!$E$22="yes"),L35,IF(AND(I$30="H",'G2N Calculation'!$E$22="yes"),M35,IF(I$30="M",H35,IF(I$30="S",I35,J35)))))</f>
        <v>0</v>
      </c>
      <c r="H30" s="109"/>
      <c r="I30" s="110" t="str">
        <f>IF('G2N Calculation'!E17="Married","M",IF('G2N Calculation'!E17="single","S",IF('G2N Calculation'!E21="Married filing jointly","M",IF('G2N Calculation'!E21="Single or married filing separately","S",IF('G2N Calculation'!E21="Head of household","H","")))))</f>
        <v/>
      </c>
      <c r="J30" s="110">
        <f>F1</f>
        <v>2019</v>
      </c>
      <c r="K30" s="110"/>
      <c r="L30" s="110"/>
      <c r="M30" s="111"/>
    </row>
    <row r="31" spans="1:13" ht="12.95" customHeight="1" x14ac:dyDescent="0.2">
      <c r="C31" s="68" t="s">
        <v>121</v>
      </c>
      <c r="D31" s="66" t="s">
        <v>57</v>
      </c>
      <c r="E31" s="64" t="s">
        <v>58</v>
      </c>
      <c r="F31" s="75">
        <f>IF(AND(I$30="M",'G2N Calculation'!$E$22="yes"),K36,IF(AND(I$30="S",'G2N Calculation'!$E$22="yes"),L36,IF(AND(I$30="H",'G2N Calculation'!$E$22="yes"),M36,IF(I$30="M",H36,IF(I$30="S",I36,J36)))))</f>
        <v>0</v>
      </c>
      <c r="H31" s="112"/>
      <c r="I31" s="113"/>
      <c r="J31" s="113"/>
      <c r="K31" s="113"/>
      <c r="L31" s="113"/>
      <c r="M31" s="114"/>
    </row>
    <row r="32" spans="1:13" ht="11.1" customHeight="1" x14ac:dyDescent="0.25">
      <c r="C32" s="68" t="s">
        <v>123</v>
      </c>
      <c r="D32" s="66" t="s">
        <v>59</v>
      </c>
      <c r="E32" s="64" t="s">
        <v>44</v>
      </c>
      <c r="F32" s="71">
        <f>+F28-F29</f>
        <v>0</v>
      </c>
      <c r="H32" s="112" t="s">
        <v>106</v>
      </c>
      <c r="I32" s="113"/>
      <c r="J32" s="113"/>
      <c r="K32" s="113" t="s">
        <v>107</v>
      </c>
      <c r="L32" s="113"/>
      <c r="M32" s="114"/>
    </row>
    <row r="33" spans="1:13" ht="12.95" customHeight="1" x14ac:dyDescent="0.25">
      <c r="C33" s="68" t="s">
        <v>125</v>
      </c>
      <c r="D33" s="66" t="s">
        <v>60</v>
      </c>
      <c r="E33" s="64" t="s">
        <v>44</v>
      </c>
      <c r="F33" s="71">
        <f>+ROUND(F32*F31,2)</f>
        <v>0</v>
      </c>
      <c r="H33" s="112" t="s">
        <v>96</v>
      </c>
      <c r="I33" s="113" t="s">
        <v>97</v>
      </c>
      <c r="J33" s="113" t="s">
        <v>98</v>
      </c>
      <c r="K33" s="113" t="s">
        <v>96</v>
      </c>
      <c r="L33" s="113" t="s">
        <v>97</v>
      </c>
      <c r="M33" s="114" t="s">
        <v>98</v>
      </c>
    </row>
    <row r="34" spans="1:13" x14ac:dyDescent="0.25">
      <c r="C34" s="68" t="s">
        <v>124</v>
      </c>
      <c r="D34" s="66" t="s">
        <v>61</v>
      </c>
      <c r="E34" s="64" t="s">
        <v>44</v>
      </c>
      <c r="F34" s="71">
        <f>+F33+F30</f>
        <v>0</v>
      </c>
      <c r="H34" s="112">
        <f>VLOOKUP($F$28,Sheet2!$A$9:$D$16,1,TRUE)</f>
        <v>0</v>
      </c>
      <c r="I34" s="113">
        <f>VLOOKUP($F$28,Sheet2!$A$18:$D$25,1,TRUE)</f>
        <v>0</v>
      </c>
      <c r="J34" s="113">
        <f>VLOOKUP($F$28,Sheet2!$A$27:$D$34,1,TRUE)</f>
        <v>0</v>
      </c>
      <c r="K34" s="113">
        <f>VLOOKUP($F$28,Sheet2!$F$9:$I$16,1,TRUE)</f>
        <v>0</v>
      </c>
      <c r="L34" s="113">
        <f>VLOOKUP($F$28,Sheet2!$F$18:$I$25,1,TRUE)</f>
        <v>0</v>
      </c>
      <c r="M34" s="114">
        <f>VLOOKUP($F$28,Sheet2!$F$27:$I$34,1,TRUE)</f>
        <v>0</v>
      </c>
    </row>
    <row r="35" spans="1:13" ht="12.95" customHeight="1" x14ac:dyDescent="0.25">
      <c r="C35" s="68" t="s">
        <v>127</v>
      </c>
      <c r="D35" s="66" t="s">
        <v>62</v>
      </c>
      <c r="E35" s="64" t="s">
        <v>44</v>
      </c>
      <c r="F35" s="71">
        <f>+ROUND(F34/F5,2)</f>
        <v>0</v>
      </c>
      <c r="H35" s="112">
        <f>VLOOKUP($F$28,Sheet2!$A$9:$D$16,3,TRUE)</f>
        <v>0</v>
      </c>
      <c r="I35" s="113">
        <f>VLOOKUP($F$28,Sheet2!$A$18:$D$25,3,TRUE)</f>
        <v>0</v>
      </c>
      <c r="J35" s="113">
        <f>VLOOKUP($F$28,Sheet2!$A$27:$D$34,3,TRUE)</f>
        <v>0</v>
      </c>
      <c r="K35" s="113">
        <f>VLOOKUP($F$28,Sheet2!$F$9:$I$16,3,TRUE)</f>
        <v>0</v>
      </c>
      <c r="L35" s="113">
        <f>VLOOKUP($F$28,Sheet2!$F$18:$I$25,3,TRUE)</f>
        <v>0</v>
      </c>
      <c r="M35" s="114">
        <f>VLOOKUP($F$28,Sheet2!$F$27:$I$34,3,TRUE)</f>
        <v>0</v>
      </c>
    </row>
    <row r="36" spans="1:13" ht="12.95" customHeight="1" thickBot="1" x14ac:dyDescent="0.3">
      <c r="C36" s="65"/>
      <c r="H36" s="115">
        <f>VLOOKUP($F$28,Sheet2!$A$9:$D$16,4,TRUE)</f>
        <v>0</v>
      </c>
      <c r="I36" s="116">
        <f>VLOOKUP($F$28,Sheet2!$A$18:$D$25,4,TRUE)</f>
        <v>0</v>
      </c>
      <c r="J36" s="116">
        <f>VLOOKUP($F$28,Sheet2!$A$27:$D$34,4,TRUE)</f>
        <v>0</v>
      </c>
      <c r="K36" s="116">
        <f>VLOOKUP($F$28,Sheet2!$F$9:$I$16,4,TRUE)</f>
        <v>0</v>
      </c>
      <c r="L36" s="116">
        <f>VLOOKUP($F$28,Sheet2!$F$18:$I$25,4,TRUE)</f>
        <v>0</v>
      </c>
      <c r="M36" s="117">
        <f>VLOOKUP($F$28,Sheet2!$F$27:$I$34,4,TRUE)</f>
        <v>0</v>
      </c>
    </row>
    <row r="37" spans="1:13" ht="12.95" customHeight="1" x14ac:dyDescent="0.25">
      <c r="A37" s="65" t="s">
        <v>63</v>
      </c>
    </row>
    <row r="38" spans="1:13" ht="12.95" customHeight="1" x14ac:dyDescent="0.25">
      <c r="C38" s="68" t="s">
        <v>128</v>
      </c>
      <c r="D38" s="66" t="s">
        <v>64</v>
      </c>
      <c r="E38" s="64" t="s">
        <v>44</v>
      </c>
      <c r="F38" s="69">
        <f>'G2N Calculation'!E23</f>
        <v>0</v>
      </c>
    </row>
    <row r="39" spans="1:13" ht="11.1" customHeight="1" x14ac:dyDescent="0.25">
      <c r="C39" s="68" t="s">
        <v>129</v>
      </c>
      <c r="D39" s="66" t="s">
        <v>65</v>
      </c>
      <c r="E39" s="64" t="s">
        <v>44</v>
      </c>
      <c r="F39" s="71">
        <f>+ROUND(F38/F5,2)</f>
        <v>0</v>
      </c>
    </row>
    <row r="40" spans="1:13" ht="12.95" customHeight="1" x14ac:dyDescent="0.25">
      <c r="C40" s="68" t="s">
        <v>131</v>
      </c>
      <c r="D40" s="66" t="s">
        <v>66</v>
      </c>
      <c r="E40" s="64" t="s">
        <v>44</v>
      </c>
      <c r="F40" s="71">
        <f>+IF(F35-F39&lt;0,0,F35-F39)</f>
        <v>0</v>
      </c>
    </row>
    <row r="41" spans="1:13" ht="11.1" customHeight="1" x14ac:dyDescent="0.25">
      <c r="C41" s="68"/>
    </row>
    <row r="42" spans="1:13" ht="12.95" customHeight="1" x14ac:dyDescent="0.25">
      <c r="A42" s="65" t="s">
        <v>67</v>
      </c>
    </row>
    <row r="43" spans="1:13" ht="22.5" x14ac:dyDescent="0.2">
      <c r="C43" s="72" t="s">
        <v>68</v>
      </c>
      <c r="D43" s="73" t="s">
        <v>69</v>
      </c>
      <c r="E43" s="74" t="s">
        <v>44</v>
      </c>
      <c r="F43" s="75">
        <f>IF(F1=2019,'G2N Calculation'!E19,'G2N Calculation'!E26)</f>
        <v>0</v>
      </c>
    </row>
    <row r="44" spans="1:13" ht="12.95" customHeight="1" x14ac:dyDescent="0.25">
      <c r="C44" s="68" t="s">
        <v>130</v>
      </c>
      <c r="D44" s="66" t="s">
        <v>70</v>
      </c>
      <c r="E44" s="64" t="s">
        <v>44</v>
      </c>
      <c r="F44" s="71">
        <f>+F40+F43</f>
        <v>0</v>
      </c>
    </row>
    <row r="45" spans="1:13" ht="12.95" customHeight="1" x14ac:dyDescent="0.25"/>
    <row r="46" spans="1:13" ht="12.95" customHeight="1" x14ac:dyDescent="0.25"/>
    <row r="47" spans="1:13" ht="11.1" customHeight="1" x14ac:dyDescent="0.25"/>
    <row r="49" spans="3:3" ht="11.1" customHeight="1" x14ac:dyDescent="0.25"/>
    <row r="50" spans="3:3" ht="12.95" customHeight="1" x14ac:dyDescent="0.25">
      <c r="C50" s="65"/>
    </row>
    <row r="51" spans="3:3" ht="12.95" customHeight="1" x14ac:dyDescent="0.25">
      <c r="C51" s="65"/>
    </row>
  </sheetData>
  <sheetProtection algorithmName="SHA-512" hashValue="sKqxiD85oEVuu8Pv8sJIkBcOuPwPpNpJbok4IVFdlbZ8JxJYYV7pjCHZvTV1ccnvC+YRtlsoVJW+DqwHL63lCw==" saltValue="hyErxT/ceKUBoei8UsZNcw==" spinCount="100000" sheet="1" objects="1" scenarios="1"/>
  <mergeCells count="1">
    <mergeCell ref="D1:E1"/>
  </mergeCells>
  <pageMargins left="0.75" right="0.75" top="1" bottom="1" header="0.5" footer="0.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3896E-B9FB-4629-AA8D-791F20E9614B}">
  <sheetPr codeName="Sheet3"/>
  <dimension ref="A1:M38"/>
  <sheetViews>
    <sheetView workbookViewId="0"/>
  </sheetViews>
  <sheetFormatPr defaultColWidth="8.7109375" defaultRowHeight="12.75" x14ac:dyDescent="0.25"/>
  <cols>
    <col min="1" max="1" width="8.7109375" style="64"/>
    <col min="2" max="2" width="12.28515625" style="64" bestFit="1" customWidth="1"/>
    <col min="3" max="3" width="10.140625" style="64" customWidth="1"/>
    <col min="4" max="5" width="8.7109375" style="64"/>
    <col min="6" max="6" width="10.42578125" style="64" customWidth="1"/>
    <col min="7" max="7" width="8.7109375" style="64"/>
    <col min="8" max="8" width="11.5703125" style="64" customWidth="1"/>
    <col min="9" max="16384" width="8.7109375" style="64"/>
  </cols>
  <sheetData>
    <row r="1" spans="1:13" ht="21.75" x14ac:dyDescent="0.25">
      <c r="A1" s="76" t="s">
        <v>71</v>
      </c>
      <c r="M1" s="64" t="s">
        <v>146</v>
      </c>
    </row>
    <row r="2" spans="1:13" ht="21.75" x14ac:dyDescent="0.25">
      <c r="A2" s="76"/>
    </row>
    <row r="3" spans="1:13" x14ac:dyDescent="0.25">
      <c r="A3" s="149" t="s">
        <v>72</v>
      </c>
      <c r="B3" s="150"/>
      <c r="C3" s="150"/>
      <c r="D3" s="150"/>
      <c r="E3" s="151"/>
      <c r="F3" s="149" t="s">
        <v>73</v>
      </c>
      <c r="G3" s="150"/>
      <c r="H3" s="150"/>
      <c r="I3" s="150"/>
      <c r="J3" s="151"/>
    </row>
    <row r="4" spans="1:13" ht="35.25" customHeight="1" x14ac:dyDescent="0.25">
      <c r="A4" s="152" t="s">
        <v>74</v>
      </c>
      <c r="B4" s="153"/>
      <c r="C4" s="153"/>
      <c r="D4" s="153"/>
      <c r="E4" s="154"/>
      <c r="F4" s="152" t="s">
        <v>75</v>
      </c>
      <c r="G4" s="153"/>
      <c r="H4" s="153"/>
      <c r="I4" s="153"/>
      <c r="J4" s="154"/>
    </row>
    <row r="5" spans="1:13" ht="45" x14ac:dyDescent="0.25">
      <c r="A5" s="155" t="s">
        <v>76</v>
      </c>
      <c r="B5" s="156"/>
      <c r="C5" s="77"/>
      <c r="D5" s="77"/>
      <c r="E5" s="118" t="s">
        <v>77</v>
      </c>
      <c r="F5" s="155" t="s">
        <v>76</v>
      </c>
      <c r="G5" s="156"/>
      <c r="H5" s="77"/>
      <c r="I5" s="77"/>
      <c r="J5" s="118" t="s">
        <v>77</v>
      </c>
    </row>
    <row r="6" spans="1:13" ht="22.5" x14ac:dyDescent="0.25">
      <c r="A6" s="123" t="s">
        <v>78</v>
      </c>
      <c r="B6" s="78" t="s">
        <v>79</v>
      </c>
      <c r="C6" s="147" t="s">
        <v>80</v>
      </c>
      <c r="D6" s="147"/>
      <c r="E6" s="148"/>
      <c r="F6" s="119" t="s">
        <v>78</v>
      </c>
      <c r="G6" s="78" t="s">
        <v>79</v>
      </c>
      <c r="H6" s="147" t="s">
        <v>81</v>
      </c>
      <c r="I6" s="147"/>
      <c r="J6" s="148"/>
    </row>
    <row r="7" spans="1:13" x14ac:dyDescent="0.25">
      <c r="A7" s="120" t="s">
        <v>82</v>
      </c>
      <c r="B7" s="121" t="s">
        <v>83</v>
      </c>
      <c r="C7" s="124" t="s">
        <v>84</v>
      </c>
      <c r="D7" s="124" t="s">
        <v>85</v>
      </c>
      <c r="E7" s="122" t="s">
        <v>86</v>
      </c>
      <c r="F7" s="120" t="s">
        <v>82</v>
      </c>
      <c r="G7" s="121" t="s">
        <v>83</v>
      </c>
      <c r="H7" s="121" t="s">
        <v>84</v>
      </c>
      <c r="I7" s="121" t="s">
        <v>85</v>
      </c>
      <c r="J7" s="122" t="s">
        <v>86</v>
      </c>
    </row>
    <row r="8" spans="1:13" ht="15" customHeight="1" x14ac:dyDescent="0.25">
      <c r="A8" s="79" t="s">
        <v>87</v>
      </c>
      <c r="B8" s="80"/>
      <c r="C8" s="108"/>
      <c r="D8" s="105"/>
      <c r="E8" s="81"/>
      <c r="F8" s="81" t="s">
        <v>87</v>
      </c>
      <c r="G8" s="81"/>
      <c r="H8" s="108"/>
      <c r="I8" s="105"/>
      <c r="J8" s="82"/>
    </row>
    <row r="9" spans="1:13" ht="15" customHeight="1" x14ac:dyDescent="0.25">
      <c r="A9" s="83">
        <v>0</v>
      </c>
      <c r="B9" s="84">
        <v>12200</v>
      </c>
      <c r="C9" s="85">
        <v>0</v>
      </c>
      <c r="D9" s="103">
        <v>0</v>
      </c>
      <c r="E9" s="86">
        <v>0</v>
      </c>
      <c r="F9" s="83">
        <v>0</v>
      </c>
      <c r="G9" s="84">
        <v>12550</v>
      </c>
      <c r="H9" s="87">
        <v>0</v>
      </c>
      <c r="I9" s="106">
        <v>0</v>
      </c>
      <c r="J9" s="86">
        <v>0</v>
      </c>
    </row>
    <row r="10" spans="1:13" ht="15" customHeight="1" x14ac:dyDescent="0.25">
      <c r="A10" s="88">
        <v>12200</v>
      </c>
      <c r="B10" s="84">
        <v>32100</v>
      </c>
      <c r="C10" s="85">
        <v>0</v>
      </c>
      <c r="D10" s="103">
        <v>0.1</v>
      </c>
      <c r="E10" s="89">
        <v>12200</v>
      </c>
      <c r="F10" s="88">
        <v>12550</v>
      </c>
      <c r="G10" s="84">
        <v>22500</v>
      </c>
      <c r="H10" s="87">
        <v>0</v>
      </c>
      <c r="I10" s="106">
        <v>0.1</v>
      </c>
      <c r="J10" s="89">
        <v>12550</v>
      </c>
    </row>
    <row r="11" spans="1:13" ht="15" customHeight="1" x14ac:dyDescent="0.25">
      <c r="A11" s="88">
        <v>32100</v>
      </c>
      <c r="B11" s="84">
        <v>93250</v>
      </c>
      <c r="C11" s="90">
        <v>1990</v>
      </c>
      <c r="D11" s="103">
        <v>0.12</v>
      </c>
      <c r="E11" s="89">
        <v>32100</v>
      </c>
      <c r="F11" s="88">
        <v>22500</v>
      </c>
      <c r="G11" s="84">
        <v>53075</v>
      </c>
      <c r="H11" s="87">
        <v>995</v>
      </c>
      <c r="I11" s="106">
        <v>0.12</v>
      </c>
      <c r="J11" s="89">
        <v>22500</v>
      </c>
    </row>
    <row r="12" spans="1:13" ht="15" customHeight="1" x14ac:dyDescent="0.25">
      <c r="A12" s="88">
        <v>93250</v>
      </c>
      <c r="B12" s="84">
        <v>184950</v>
      </c>
      <c r="C12" s="90">
        <v>9328</v>
      </c>
      <c r="D12" s="103">
        <v>0.22</v>
      </c>
      <c r="E12" s="89">
        <v>93250</v>
      </c>
      <c r="F12" s="88">
        <v>53075</v>
      </c>
      <c r="G12" s="84">
        <v>98925</v>
      </c>
      <c r="H12" s="90">
        <v>4664</v>
      </c>
      <c r="I12" s="106">
        <v>0.22</v>
      </c>
      <c r="J12" s="89">
        <v>53075</v>
      </c>
    </row>
    <row r="13" spans="1:13" ht="15" customHeight="1" x14ac:dyDescent="0.25">
      <c r="A13" s="88">
        <v>184950</v>
      </c>
      <c r="B13" s="84">
        <v>342050</v>
      </c>
      <c r="C13" s="90">
        <v>29502</v>
      </c>
      <c r="D13" s="103">
        <v>0.24</v>
      </c>
      <c r="E13" s="89">
        <v>184950</v>
      </c>
      <c r="F13" s="88">
        <v>98925</v>
      </c>
      <c r="G13" s="84">
        <v>177475</v>
      </c>
      <c r="H13" s="90">
        <v>14751</v>
      </c>
      <c r="I13" s="106">
        <v>0.24</v>
      </c>
      <c r="J13" s="89">
        <v>98925</v>
      </c>
    </row>
    <row r="14" spans="1:13" ht="15" customHeight="1" x14ac:dyDescent="0.25">
      <c r="A14" s="88">
        <v>342050</v>
      </c>
      <c r="B14" s="84">
        <v>431050</v>
      </c>
      <c r="C14" s="90">
        <v>67206</v>
      </c>
      <c r="D14" s="103">
        <v>0.32</v>
      </c>
      <c r="E14" s="89">
        <v>342050</v>
      </c>
      <c r="F14" s="88">
        <v>177475</v>
      </c>
      <c r="G14" s="84">
        <v>221975</v>
      </c>
      <c r="H14" s="90">
        <v>33603</v>
      </c>
      <c r="I14" s="106">
        <v>0.32</v>
      </c>
      <c r="J14" s="89">
        <v>177475</v>
      </c>
    </row>
    <row r="15" spans="1:13" ht="15" customHeight="1" x14ac:dyDescent="0.25">
      <c r="A15" s="88">
        <v>431050</v>
      </c>
      <c r="B15" s="84">
        <v>640500</v>
      </c>
      <c r="C15" s="90">
        <v>95686</v>
      </c>
      <c r="D15" s="103">
        <v>0.35</v>
      </c>
      <c r="E15" s="89">
        <v>431050</v>
      </c>
      <c r="F15" s="88">
        <v>221975</v>
      </c>
      <c r="G15" s="84">
        <v>326700</v>
      </c>
      <c r="H15" s="90">
        <v>47843</v>
      </c>
      <c r="I15" s="106">
        <v>0.35</v>
      </c>
      <c r="J15" s="89">
        <v>221975</v>
      </c>
    </row>
    <row r="16" spans="1:13" ht="15" customHeight="1" x14ac:dyDescent="0.25">
      <c r="A16" s="88">
        <v>640500</v>
      </c>
      <c r="B16" s="91"/>
      <c r="C16" s="90">
        <v>168993.5</v>
      </c>
      <c r="D16" s="103">
        <v>0.37</v>
      </c>
      <c r="E16" s="89">
        <v>640500</v>
      </c>
      <c r="F16" s="88">
        <v>326700</v>
      </c>
      <c r="G16" s="91"/>
      <c r="H16" s="90">
        <v>84496.75</v>
      </c>
      <c r="I16" s="106">
        <v>0.37</v>
      </c>
      <c r="J16" s="89">
        <v>326700</v>
      </c>
    </row>
    <row r="17" spans="1:10" ht="15.75" customHeight="1" x14ac:dyDescent="0.25">
      <c r="A17" s="125" t="s">
        <v>108</v>
      </c>
      <c r="B17" s="81"/>
      <c r="C17" s="92"/>
      <c r="D17" s="81"/>
      <c r="E17" s="81"/>
      <c r="F17" s="125" t="s">
        <v>108</v>
      </c>
      <c r="G17" s="81"/>
      <c r="H17" s="92"/>
      <c r="I17" s="81"/>
      <c r="J17" s="82"/>
    </row>
    <row r="18" spans="1:10" ht="15" customHeight="1" x14ac:dyDescent="0.25">
      <c r="A18" s="83">
        <v>0</v>
      </c>
      <c r="B18" s="84">
        <v>3950</v>
      </c>
      <c r="C18" s="85">
        <v>0</v>
      </c>
      <c r="D18" s="103">
        <v>0</v>
      </c>
      <c r="E18" s="86">
        <v>0</v>
      </c>
      <c r="F18" s="83">
        <v>0</v>
      </c>
      <c r="G18" s="84">
        <v>6275</v>
      </c>
      <c r="H18" s="87">
        <v>0</v>
      </c>
      <c r="I18" s="106">
        <v>0</v>
      </c>
      <c r="J18" s="86">
        <v>0</v>
      </c>
    </row>
    <row r="19" spans="1:10" ht="15" customHeight="1" x14ac:dyDescent="0.25">
      <c r="A19" s="88">
        <v>3950</v>
      </c>
      <c r="B19" s="84">
        <v>13900</v>
      </c>
      <c r="C19" s="85">
        <v>0</v>
      </c>
      <c r="D19" s="103">
        <v>0.1</v>
      </c>
      <c r="E19" s="89">
        <v>3950</v>
      </c>
      <c r="F19" s="88">
        <v>6275</v>
      </c>
      <c r="G19" s="84">
        <v>11250</v>
      </c>
      <c r="H19" s="87">
        <v>0</v>
      </c>
      <c r="I19" s="106">
        <v>0.1</v>
      </c>
      <c r="J19" s="89">
        <v>6275</v>
      </c>
    </row>
    <row r="20" spans="1:10" ht="15" customHeight="1" x14ac:dyDescent="0.25">
      <c r="A20" s="88">
        <v>13900</v>
      </c>
      <c r="B20" s="84">
        <v>44475</v>
      </c>
      <c r="C20" s="87">
        <v>995</v>
      </c>
      <c r="D20" s="103">
        <v>0.12</v>
      </c>
      <c r="E20" s="89">
        <v>13900</v>
      </c>
      <c r="F20" s="88">
        <v>11250</v>
      </c>
      <c r="G20" s="84">
        <v>26538</v>
      </c>
      <c r="H20" s="87">
        <v>497.5</v>
      </c>
      <c r="I20" s="106">
        <v>0.12</v>
      </c>
      <c r="J20" s="89">
        <v>11250</v>
      </c>
    </row>
    <row r="21" spans="1:10" ht="15" customHeight="1" x14ac:dyDescent="0.25">
      <c r="A21" s="88">
        <v>44475</v>
      </c>
      <c r="B21" s="84">
        <v>90325</v>
      </c>
      <c r="C21" s="90">
        <v>4664</v>
      </c>
      <c r="D21" s="103">
        <v>0.22</v>
      </c>
      <c r="E21" s="89">
        <v>44475</v>
      </c>
      <c r="F21" s="88">
        <v>26538</v>
      </c>
      <c r="G21" s="84">
        <v>49463</v>
      </c>
      <c r="H21" s="90">
        <v>2332</v>
      </c>
      <c r="I21" s="106">
        <v>0.22</v>
      </c>
      <c r="J21" s="89">
        <v>26538</v>
      </c>
    </row>
    <row r="22" spans="1:10" ht="15" customHeight="1" x14ac:dyDescent="0.25">
      <c r="A22" s="88">
        <v>90325</v>
      </c>
      <c r="B22" s="84">
        <v>168875</v>
      </c>
      <c r="C22" s="90">
        <v>14751</v>
      </c>
      <c r="D22" s="103">
        <v>0.24</v>
      </c>
      <c r="E22" s="89">
        <v>90325</v>
      </c>
      <c r="F22" s="88">
        <v>49463</v>
      </c>
      <c r="G22" s="84">
        <v>88738</v>
      </c>
      <c r="H22" s="90">
        <v>7375.5</v>
      </c>
      <c r="I22" s="106">
        <v>0.24</v>
      </c>
      <c r="J22" s="89">
        <v>49463</v>
      </c>
    </row>
    <row r="23" spans="1:10" ht="15" customHeight="1" x14ac:dyDescent="0.25">
      <c r="A23" s="88">
        <v>168875</v>
      </c>
      <c r="B23" s="84">
        <v>213375</v>
      </c>
      <c r="C23" s="90">
        <v>33603</v>
      </c>
      <c r="D23" s="103">
        <v>0.32</v>
      </c>
      <c r="E23" s="89">
        <v>168875</v>
      </c>
      <c r="F23" s="88">
        <v>88738</v>
      </c>
      <c r="G23" s="84">
        <v>110988</v>
      </c>
      <c r="H23" s="90">
        <v>16801.5</v>
      </c>
      <c r="I23" s="106">
        <v>0.32</v>
      </c>
      <c r="J23" s="89">
        <v>88738</v>
      </c>
    </row>
    <row r="24" spans="1:10" ht="15" customHeight="1" x14ac:dyDescent="0.25">
      <c r="A24" s="88">
        <v>213375</v>
      </c>
      <c r="B24" s="84">
        <v>527550</v>
      </c>
      <c r="C24" s="90">
        <v>47843</v>
      </c>
      <c r="D24" s="103">
        <v>0.35</v>
      </c>
      <c r="E24" s="89">
        <v>213375</v>
      </c>
      <c r="F24" s="88">
        <v>110988</v>
      </c>
      <c r="G24" s="84">
        <v>268075</v>
      </c>
      <c r="H24" s="90">
        <v>23921.5</v>
      </c>
      <c r="I24" s="106">
        <v>0.35</v>
      </c>
      <c r="J24" s="89">
        <v>110988</v>
      </c>
    </row>
    <row r="25" spans="1:10" ht="15" customHeight="1" x14ac:dyDescent="0.25">
      <c r="A25" s="88">
        <v>527550</v>
      </c>
      <c r="B25" s="91"/>
      <c r="C25" s="90">
        <v>157804.25</v>
      </c>
      <c r="D25" s="103">
        <v>0.37</v>
      </c>
      <c r="E25" s="89">
        <v>527550</v>
      </c>
      <c r="F25" s="88">
        <v>268075</v>
      </c>
      <c r="G25" s="91"/>
      <c r="H25" s="90">
        <v>78902.13</v>
      </c>
      <c r="I25" s="106">
        <v>0.37</v>
      </c>
      <c r="J25" s="89">
        <v>268075</v>
      </c>
    </row>
    <row r="26" spans="1:10" x14ac:dyDescent="0.25">
      <c r="A26" s="125" t="s">
        <v>88</v>
      </c>
      <c r="B26" s="81"/>
      <c r="C26" s="92"/>
      <c r="D26" s="81"/>
      <c r="E26" s="81"/>
      <c r="F26" s="125" t="s">
        <v>88</v>
      </c>
      <c r="G26" s="81"/>
      <c r="H26" s="105"/>
      <c r="I26" s="105"/>
      <c r="J26" s="82"/>
    </row>
    <row r="27" spans="1:10" ht="15" customHeight="1" x14ac:dyDescent="0.25">
      <c r="A27" s="83">
        <v>0</v>
      </c>
      <c r="B27" s="84">
        <v>10200</v>
      </c>
      <c r="C27" s="85">
        <v>0</v>
      </c>
      <c r="D27" s="103">
        <v>0</v>
      </c>
      <c r="E27" s="86">
        <v>0</v>
      </c>
      <c r="F27" s="83">
        <v>0</v>
      </c>
      <c r="G27" s="84">
        <v>9400</v>
      </c>
      <c r="H27" s="87">
        <v>0</v>
      </c>
      <c r="I27" s="106">
        <v>0</v>
      </c>
      <c r="J27" s="86">
        <v>0</v>
      </c>
    </row>
    <row r="28" spans="1:10" ht="15" customHeight="1" x14ac:dyDescent="0.25">
      <c r="A28" s="88">
        <v>10200</v>
      </c>
      <c r="B28" s="84">
        <v>24400</v>
      </c>
      <c r="C28" s="85">
        <v>0</v>
      </c>
      <c r="D28" s="103">
        <v>0.1</v>
      </c>
      <c r="E28" s="89">
        <v>10200</v>
      </c>
      <c r="F28" s="88">
        <v>9400</v>
      </c>
      <c r="G28" s="84">
        <v>16500</v>
      </c>
      <c r="H28" s="87">
        <v>0</v>
      </c>
      <c r="I28" s="106">
        <v>0.1</v>
      </c>
      <c r="J28" s="89">
        <v>9400</v>
      </c>
    </row>
    <row r="29" spans="1:10" ht="15" customHeight="1" x14ac:dyDescent="0.25">
      <c r="A29" s="88">
        <v>24400</v>
      </c>
      <c r="B29" s="84">
        <v>64400</v>
      </c>
      <c r="C29" s="90">
        <v>1420</v>
      </c>
      <c r="D29" s="103">
        <v>0.12</v>
      </c>
      <c r="E29" s="89">
        <v>24400</v>
      </c>
      <c r="F29" s="88">
        <v>16500</v>
      </c>
      <c r="G29" s="84">
        <v>36500</v>
      </c>
      <c r="H29" s="87">
        <v>710</v>
      </c>
      <c r="I29" s="106">
        <v>0.12</v>
      </c>
      <c r="J29" s="89">
        <v>16500</v>
      </c>
    </row>
    <row r="30" spans="1:10" ht="15" customHeight="1" x14ac:dyDescent="0.25">
      <c r="A30" s="88">
        <v>64400</v>
      </c>
      <c r="B30" s="84">
        <v>96550</v>
      </c>
      <c r="C30" s="90">
        <v>6220</v>
      </c>
      <c r="D30" s="103">
        <v>0.22</v>
      </c>
      <c r="E30" s="89">
        <v>64400</v>
      </c>
      <c r="F30" s="88">
        <v>36500</v>
      </c>
      <c r="G30" s="84">
        <v>52575</v>
      </c>
      <c r="H30" s="90">
        <v>3110</v>
      </c>
      <c r="I30" s="106">
        <v>0.22</v>
      </c>
      <c r="J30" s="89">
        <v>36500</v>
      </c>
    </row>
    <row r="31" spans="1:10" ht="15" customHeight="1" x14ac:dyDescent="0.25">
      <c r="A31" s="88">
        <v>96550</v>
      </c>
      <c r="B31" s="84">
        <v>175100</v>
      </c>
      <c r="C31" s="90">
        <v>13293</v>
      </c>
      <c r="D31" s="103">
        <v>0.24</v>
      </c>
      <c r="E31" s="89">
        <v>96550</v>
      </c>
      <c r="F31" s="88">
        <v>52575</v>
      </c>
      <c r="G31" s="84">
        <v>91850</v>
      </c>
      <c r="H31" s="90">
        <v>6646.5</v>
      </c>
      <c r="I31" s="106">
        <v>0.24</v>
      </c>
      <c r="J31" s="89">
        <v>52575</v>
      </c>
    </row>
    <row r="32" spans="1:10" ht="15" customHeight="1" x14ac:dyDescent="0.25">
      <c r="A32" s="88">
        <v>175100</v>
      </c>
      <c r="B32" s="84">
        <v>219600</v>
      </c>
      <c r="C32" s="90">
        <v>32145</v>
      </c>
      <c r="D32" s="103">
        <v>0.32</v>
      </c>
      <c r="E32" s="89">
        <v>175100</v>
      </c>
      <c r="F32" s="88">
        <v>91850</v>
      </c>
      <c r="G32" s="84">
        <v>114100</v>
      </c>
      <c r="H32" s="90">
        <v>16072.5</v>
      </c>
      <c r="I32" s="106">
        <v>0.32</v>
      </c>
      <c r="J32" s="89">
        <v>91850</v>
      </c>
    </row>
    <row r="33" spans="1:10" ht="15" customHeight="1" x14ac:dyDescent="0.25">
      <c r="A33" s="88">
        <v>219600</v>
      </c>
      <c r="B33" s="84">
        <v>533800</v>
      </c>
      <c r="C33" s="90">
        <v>46385</v>
      </c>
      <c r="D33" s="103">
        <v>0.35</v>
      </c>
      <c r="E33" s="89">
        <v>219600</v>
      </c>
      <c r="F33" s="88">
        <v>114100</v>
      </c>
      <c r="G33" s="84">
        <v>271200</v>
      </c>
      <c r="H33" s="90">
        <v>23192.5</v>
      </c>
      <c r="I33" s="106">
        <v>0.35</v>
      </c>
      <c r="J33" s="89">
        <v>114100</v>
      </c>
    </row>
    <row r="34" spans="1:10" ht="15" customHeight="1" x14ac:dyDescent="0.25">
      <c r="A34" s="93">
        <v>533800</v>
      </c>
      <c r="B34" s="94"/>
      <c r="C34" s="95">
        <v>156355</v>
      </c>
      <c r="D34" s="104">
        <v>0.37</v>
      </c>
      <c r="E34" s="96">
        <v>533800</v>
      </c>
      <c r="F34" s="93">
        <v>271200</v>
      </c>
      <c r="G34" s="94"/>
      <c r="H34" s="95">
        <v>78177.5</v>
      </c>
      <c r="I34" s="107">
        <v>0.37</v>
      </c>
      <c r="J34" s="96">
        <v>271200</v>
      </c>
    </row>
    <row r="37" spans="1:10" ht="12.75" customHeight="1" x14ac:dyDescent="0.25">
      <c r="A37" s="97" t="s">
        <v>23</v>
      </c>
      <c r="B37" s="98" t="s">
        <v>89</v>
      </c>
      <c r="C37" s="98" t="s">
        <v>90</v>
      </c>
      <c r="D37" s="98" t="s">
        <v>91</v>
      </c>
      <c r="E37" s="99" t="s">
        <v>92</v>
      </c>
    </row>
    <row r="38" spans="1:10" x14ac:dyDescent="0.25">
      <c r="A38" s="100">
        <v>12</v>
      </c>
      <c r="B38" s="101">
        <v>24</v>
      </c>
      <c r="C38" s="101">
        <v>26</v>
      </c>
      <c r="D38" s="101">
        <v>52</v>
      </c>
      <c r="E38" s="100">
        <v>260</v>
      </c>
    </row>
  </sheetData>
  <sheetProtection algorithmName="SHA-512" hashValue="n30SjUYfzxPNurZShxCknVSqaQHerMgy2wIaReGqvaGA64wThLNX+/q/1D1ZYQnOX+ACxK2sx037iUhdXg9zOg==" saltValue="Gbwpbj4xtn7E0JlxP8KLLw==" spinCount="100000" sheet="1" objects="1" scenarios="1"/>
  <mergeCells count="8">
    <mergeCell ref="C6:E6"/>
    <mergeCell ref="H6:J6"/>
    <mergeCell ref="A3:E3"/>
    <mergeCell ref="F3:J3"/>
    <mergeCell ref="A4:E4"/>
    <mergeCell ref="F4:J4"/>
    <mergeCell ref="A5:B5"/>
    <mergeCell ref="F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4:K42"/>
  <sheetViews>
    <sheetView workbookViewId="0"/>
  </sheetViews>
  <sheetFormatPr defaultRowHeight="15" x14ac:dyDescent="0.25"/>
  <cols>
    <col min="2" max="2" width="9.28515625" bestFit="1" customWidth="1"/>
    <col min="3" max="3" width="14.5703125" bestFit="1" customWidth="1"/>
    <col min="4" max="4" width="10.5703125" bestFit="1" customWidth="1"/>
    <col min="5" max="5" width="15.140625" customWidth="1"/>
    <col min="6" max="6" width="7.140625" bestFit="1" customWidth="1"/>
    <col min="7" max="7" width="10.85546875" bestFit="1" customWidth="1"/>
  </cols>
  <sheetData>
    <row r="4" spans="2:11" ht="15.75" thickBot="1" x14ac:dyDescent="0.3"/>
    <row r="5" spans="2:11" x14ac:dyDescent="0.25">
      <c r="B5" s="160" t="s">
        <v>38</v>
      </c>
      <c r="C5" s="161"/>
      <c r="D5" s="161"/>
      <c r="E5" s="161"/>
      <c r="F5" s="161"/>
      <c r="G5" s="162"/>
      <c r="K5">
        <v>2016</v>
      </c>
    </row>
    <row r="6" spans="2:11" ht="15.75" thickBot="1" x14ac:dyDescent="0.3">
      <c r="B6" s="163" t="s">
        <v>14</v>
      </c>
      <c r="C6" s="164"/>
      <c r="D6" s="164"/>
      <c r="E6" s="164"/>
      <c r="F6" s="164"/>
      <c r="G6" s="165"/>
    </row>
    <row r="7" spans="2:11" x14ac:dyDescent="0.25">
      <c r="B7" s="166" t="s">
        <v>12</v>
      </c>
      <c r="C7" s="167" t="s">
        <v>15</v>
      </c>
      <c r="D7" s="167"/>
      <c r="E7" s="168" t="s">
        <v>13</v>
      </c>
      <c r="F7" s="168" t="s">
        <v>16</v>
      </c>
      <c r="G7" s="4" t="s">
        <v>17</v>
      </c>
    </row>
    <row r="8" spans="2:11" ht="15.75" thickBot="1" x14ac:dyDescent="0.3">
      <c r="B8" s="163"/>
      <c r="C8" s="164"/>
      <c r="D8" s="164"/>
      <c r="E8" s="169"/>
      <c r="F8" s="169"/>
      <c r="G8" s="5" t="s">
        <v>12</v>
      </c>
    </row>
    <row r="9" spans="2:11" x14ac:dyDescent="0.25">
      <c r="B9" s="157" t="s">
        <v>18</v>
      </c>
      <c r="C9" s="158"/>
      <c r="D9" s="158"/>
      <c r="E9" s="158"/>
      <c r="F9" s="158"/>
      <c r="G9" s="159"/>
    </row>
    <row r="10" spans="2:11" x14ac:dyDescent="0.25">
      <c r="B10" s="52">
        <v>-999999</v>
      </c>
      <c r="C10" s="7">
        <v>11800</v>
      </c>
      <c r="D10" s="53"/>
      <c r="E10" s="9">
        <v>0</v>
      </c>
      <c r="F10" s="10">
        <v>0</v>
      </c>
      <c r="G10" s="11">
        <v>0</v>
      </c>
    </row>
    <row r="11" spans="2:11" x14ac:dyDescent="0.25">
      <c r="B11" s="6">
        <v>11800</v>
      </c>
      <c r="C11" s="7">
        <f>+B12-0.01</f>
        <v>31199.99</v>
      </c>
      <c r="D11" s="3"/>
      <c r="E11" s="9">
        <f>+ROUND(((C10-B10)*F10+E10)*4,0)/4</f>
        <v>0</v>
      </c>
      <c r="F11" s="10">
        <v>0.1</v>
      </c>
      <c r="G11" s="11">
        <f>+C10</f>
        <v>11800</v>
      </c>
    </row>
    <row r="12" spans="2:11" x14ac:dyDescent="0.25">
      <c r="B12" s="6">
        <v>31200</v>
      </c>
      <c r="C12" s="7">
        <f t="shared" ref="C12:C16" si="0">+B13-0.01</f>
        <v>90749.99</v>
      </c>
      <c r="D12" s="3"/>
      <c r="E12" s="9">
        <f t="shared" ref="E12:E17" si="1">+ROUND(((C11-B11)*F11+E11)*4,0)/4</f>
        <v>1940</v>
      </c>
      <c r="F12" s="10">
        <v>0.12</v>
      </c>
      <c r="G12" s="11">
        <f>+C11</f>
        <v>31199.99</v>
      </c>
    </row>
    <row r="13" spans="2:11" x14ac:dyDescent="0.25">
      <c r="B13" s="6">
        <v>90750</v>
      </c>
      <c r="C13" s="7">
        <f t="shared" si="0"/>
        <v>180199.99</v>
      </c>
      <c r="D13" s="3"/>
      <c r="E13" s="9">
        <f t="shared" si="1"/>
        <v>9086</v>
      </c>
      <c r="F13" s="10">
        <v>0.22</v>
      </c>
      <c r="G13" s="11">
        <f t="shared" ref="G13:G17" si="2">+C12</f>
        <v>90749.99</v>
      </c>
    </row>
    <row r="14" spans="2:11" x14ac:dyDescent="0.25">
      <c r="B14" s="6">
        <v>180200</v>
      </c>
      <c r="C14" s="7">
        <f t="shared" si="0"/>
        <v>333249.99</v>
      </c>
      <c r="D14" s="3"/>
      <c r="E14" s="9">
        <f t="shared" si="1"/>
        <v>28765</v>
      </c>
      <c r="F14" s="10">
        <v>0.24</v>
      </c>
      <c r="G14" s="11">
        <f t="shared" si="2"/>
        <v>180199.99</v>
      </c>
    </row>
    <row r="15" spans="2:11" x14ac:dyDescent="0.25">
      <c r="B15" s="6">
        <v>333250</v>
      </c>
      <c r="C15" s="7">
        <f t="shared" si="0"/>
        <v>419999.99</v>
      </c>
      <c r="D15" s="3"/>
      <c r="E15" s="9">
        <f t="shared" si="1"/>
        <v>65497</v>
      </c>
      <c r="F15" s="10">
        <v>0.32</v>
      </c>
      <c r="G15" s="11">
        <f t="shared" si="2"/>
        <v>333249.99</v>
      </c>
    </row>
    <row r="16" spans="2:11" x14ac:dyDescent="0.25">
      <c r="B16" s="6">
        <v>420000</v>
      </c>
      <c r="C16" s="7">
        <f t="shared" si="0"/>
        <v>624149.99</v>
      </c>
      <c r="D16" s="3"/>
      <c r="E16" s="9">
        <f t="shared" si="1"/>
        <v>93257</v>
      </c>
      <c r="F16" s="10">
        <v>0.35</v>
      </c>
      <c r="G16" s="11">
        <f t="shared" si="2"/>
        <v>419999.99</v>
      </c>
    </row>
    <row r="17" spans="2:11" x14ac:dyDescent="0.25">
      <c r="B17" s="6">
        <v>624150</v>
      </c>
      <c r="C17" s="7">
        <v>9999999999</v>
      </c>
      <c r="D17" s="3"/>
      <c r="E17" s="9">
        <f t="shared" si="1"/>
        <v>164709.5</v>
      </c>
      <c r="F17" s="10">
        <v>0.37</v>
      </c>
      <c r="G17" s="11">
        <f t="shared" si="2"/>
        <v>624149.99</v>
      </c>
      <c r="K17">
        <v>2017</v>
      </c>
    </row>
    <row r="18" spans="2:11" ht="15.75" thickBot="1" x14ac:dyDescent="0.3">
      <c r="B18" s="6"/>
      <c r="C18" s="12"/>
      <c r="D18" s="13"/>
      <c r="E18" s="9"/>
      <c r="F18" s="14"/>
      <c r="G18" s="11"/>
    </row>
    <row r="19" spans="2:11" x14ac:dyDescent="0.25">
      <c r="B19" s="157" t="s">
        <v>19</v>
      </c>
      <c r="C19" s="158"/>
      <c r="D19" s="158"/>
      <c r="E19" s="158"/>
      <c r="F19" s="158"/>
      <c r="G19" s="159"/>
    </row>
    <row r="20" spans="2:11" x14ac:dyDescent="0.25">
      <c r="B20" s="52">
        <v>-999999</v>
      </c>
      <c r="C20" s="7">
        <v>3800</v>
      </c>
      <c r="D20" s="53"/>
      <c r="E20" s="9">
        <v>0</v>
      </c>
      <c r="F20" s="10">
        <v>0</v>
      </c>
      <c r="G20" s="11">
        <v>0</v>
      </c>
    </row>
    <row r="21" spans="2:11" x14ac:dyDescent="0.25">
      <c r="B21" s="6">
        <v>3800</v>
      </c>
      <c r="C21" s="7">
        <f t="shared" ref="C21:C26" si="3">+B22-0.01</f>
        <v>13499.99</v>
      </c>
      <c r="D21" s="3"/>
      <c r="E21" s="9">
        <f t="shared" ref="E21:E27" si="4">+ROUND(((C20-B20)*F20+E20)*4,0)/4</f>
        <v>0</v>
      </c>
      <c r="F21" s="10">
        <v>0.1</v>
      </c>
      <c r="G21" s="11">
        <f>+C20</f>
        <v>3800</v>
      </c>
    </row>
    <row r="22" spans="2:11" x14ac:dyDescent="0.25">
      <c r="B22" s="6">
        <v>13500</v>
      </c>
      <c r="C22" s="7">
        <f t="shared" si="3"/>
        <v>43274.99</v>
      </c>
      <c r="D22" s="3"/>
      <c r="E22" s="9">
        <f t="shared" si="4"/>
        <v>970</v>
      </c>
      <c r="F22" s="10">
        <v>0.12</v>
      </c>
      <c r="G22" s="11">
        <f>+C21</f>
        <v>13499.99</v>
      </c>
    </row>
    <row r="23" spans="2:11" x14ac:dyDescent="0.25">
      <c r="B23" s="6">
        <v>43275</v>
      </c>
      <c r="C23" s="7">
        <f t="shared" si="3"/>
        <v>87999.99</v>
      </c>
      <c r="D23" s="3"/>
      <c r="E23" s="9">
        <f t="shared" si="4"/>
        <v>4543</v>
      </c>
      <c r="F23" s="10">
        <v>0.22</v>
      </c>
      <c r="G23" s="11">
        <f t="shared" ref="G23:G27" si="5">+C22</f>
        <v>43274.99</v>
      </c>
    </row>
    <row r="24" spans="2:11" x14ac:dyDescent="0.25">
      <c r="B24" s="6">
        <v>88000</v>
      </c>
      <c r="C24" s="7">
        <f t="shared" si="3"/>
        <v>164524.99</v>
      </c>
      <c r="D24" s="3"/>
      <c r="E24" s="9">
        <f t="shared" si="4"/>
        <v>14382.5</v>
      </c>
      <c r="F24" s="10">
        <v>0.24</v>
      </c>
      <c r="G24" s="11">
        <f t="shared" si="5"/>
        <v>87999.99</v>
      </c>
    </row>
    <row r="25" spans="2:11" x14ac:dyDescent="0.25">
      <c r="B25" s="6">
        <v>164525</v>
      </c>
      <c r="C25" s="7">
        <f t="shared" si="3"/>
        <v>207899.99</v>
      </c>
      <c r="D25" s="3"/>
      <c r="E25" s="9">
        <f t="shared" si="4"/>
        <v>32748.5</v>
      </c>
      <c r="F25" s="10">
        <v>0.32</v>
      </c>
      <c r="G25" s="11">
        <f t="shared" si="5"/>
        <v>164524.99</v>
      </c>
    </row>
    <row r="26" spans="2:11" x14ac:dyDescent="0.25">
      <c r="B26" s="6">
        <v>207900</v>
      </c>
      <c r="C26" s="7">
        <f t="shared" si="3"/>
        <v>514099.99</v>
      </c>
      <c r="D26" s="3"/>
      <c r="E26" s="9">
        <f t="shared" si="4"/>
        <v>46628.5</v>
      </c>
      <c r="F26" s="10">
        <v>0.35</v>
      </c>
      <c r="G26" s="11">
        <f t="shared" si="5"/>
        <v>207899.99</v>
      </c>
    </row>
    <row r="27" spans="2:11" x14ac:dyDescent="0.25">
      <c r="B27" s="6">
        <v>514100</v>
      </c>
      <c r="C27" s="7">
        <v>9999999999</v>
      </c>
      <c r="D27" s="3"/>
      <c r="E27" s="9">
        <f t="shared" si="4"/>
        <v>153798.5</v>
      </c>
      <c r="F27" s="10">
        <v>0.37</v>
      </c>
      <c r="G27" s="11">
        <f t="shared" si="5"/>
        <v>514099.99</v>
      </c>
    </row>
    <row r="28" spans="2:11" ht="15.75" thickBot="1" x14ac:dyDescent="0.3">
      <c r="B28" s="58"/>
      <c r="C28" s="12"/>
      <c r="D28" s="57"/>
      <c r="E28" s="59"/>
      <c r="F28" s="14"/>
      <c r="G28" s="60"/>
    </row>
    <row r="29" spans="2:11" x14ac:dyDescent="0.25">
      <c r="K29">
        <v>2018</v>
      </c>
    </row>
    <row r="30" spans="2:11" x14ac:dyDescent="0.25">
      <c r="B30" t="s">
        <v>26</v>
      </c>
      <c r="E30" s="22">
        <v>4300</v>
      </c>
    </row>
    <row r="32" spans="2:11" x14ac:dyDescent="0.25">
      <c r="B32" t="s">
        <v>25</v>
      </c>
      <c r="D32" s="21">
        <v>4.9500000000000002E-2</v>
      </c>
    </row>
    <row r="33" spans="2:11" x14ac:dyDescent="0.25">
      <c r="B33" t="s">
        <v>27</v>
      </c>
      <c r="D33" s="23">
        <v>2375</v>
      </c>
    </row>
    <row r="34" spans="2:11" x14ac:dyDescent="0.25">
      <c r="B34" t="s">
        <v>28</v>
      </c>
      <c r="D34" s="23">
        <v>1000</v>
      </c>
    </row>
    <row r="35" spans="2:11" x14ac:dyDescent="0.25">
      <c r="G35" s="8"/>
    </row>
    <row r="36" spans="2:11" x14ac:dyDescent="0.25">
      <c r="G36" s="8"/>
    </row>
    <row r="37" spans="2:11" x14ac:dyDescent="0.25">
      <c r="G37" s="8"/>
    </row>
    <row r="38" spans="2:11" x14ac:dyDescent="0.25">
      <c r="G38" s="8"/>
    </row>
    <row r="39" spans="2:11" x14ac:dyDescent="0.25">
      <c r="G39" s="8"/>
    </row>
    <row r="40" spans="2:11" x14ac:dyDescent="0.25">
      <c r="G40" s="8"/>
    </row>
    <row r="41" spans="2:11" x14ac:dyDescent="0.25">
      <c r="G41" s="8"/>
    </row>
    <row r="42" spans="2:11" x14ac:dyDescent="0.25">
      <c r="K42">
        <v>2019</v>
      </c>
    </row>
  </sheetData>
  <sheetProtection algorithmName="SHA-512" hashValue="N6nRqogELGxf2SkbCO5htFwzWcZJUqGRwVsA5iq7NY/LGW5OCBytZJRp7H9ZjvVXQsKDQ4VEkuk7Vu/SIQ/LxA==" saltValue="KaZgPuxMoOwYw+QtqJLZtg==" spinCount="100000" sheet="1" objects="1" scenarios="1"/>
  <mergeCells count="9">
    <mergeCell ref="B9:G9"/>
    <mergeCell ref="B19:G19"/>
    <mergeCell ref="B5:G5"/>
    <mergeCell ref="B6:G6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E22"/>
  <sheetViews>
    <sheetView workbookViewId="0"/>
  </sheetViews>
  <sheetFormatPr defaultColWidth="19.85546875" defaultRowHeight="15" x14ac:dyDescent="0.25"/>
  <cols>
    <col min="2" max="2" width="24" customWidth="1"/>
    <col min="3" max="3" width="36.28515625" customWidth="1"/>
  </cols>
  <sheetData>
    <row r="1" spans="2:5" x14ac:dyDescent="0.25">
      <c r="D1" t="s">
        <v>11</v>
      </c>
      <c r="E1" t="s">
        <v>138</v>
      </c>
    </row>
    <row r="2" spans="2:5" x14ac:dyDescent="0.25">
      <c r="D2" t="s">
        <v>36</v>
      </c>
      <c r="E2" t="s">
        <v>140</v>
      </c>
    </row>
    <row r="3" spans="2:5" x14ac:dyDescent="0.25">
      <c r="E3" t="s">
        <v>141</v>
      </c>
    </row>
    <row r="6" spans="2:5" ht="15.75" thickBot="1" x14ac:dyDescent="0.3"/>
    <row r="7" spans="2:5" x14ac:dyDescent="0.25">
      <c r="B7" s="160" t="s">
        <v>37</v>
      </c>
      <c r="C7" s="170"/>
      <c r="E7" t="s">
        <v>146</v>
      </c>
    </row>
    <row r="8" spans="2:5" ht="15.75" thickBot="1" x14ac:dyDescent="0.3">
      <c r="B8" s="163" t="s">
        <v>20</v>
      </c>
      <c r="C8" s="171"/>
    </row>
    <row r="9" spans="2:5" ht="15.75" thickBot="1" x14ac:dyDescent="0.3">
      <c r="B9" s="15" t="s">
        <v>21</v>
      </c>
      <c r="C9" s="16" t="s">
        <v>22</v>
      </c>
    </row>
    <row r="10" spans="2:5" x14ac:dyDescent="0.25">
      <c r="B10" s="17" t="s">
        <v>10</v>
      </c>
      <c r="C10" s="18">
        <v>343.8</v>
      </c>
    </row>
    <row r="11" spans="2:5" x14ac:dyDescent="0.25">
      <c r="B11" s="17" t="s">
        <v>23</v>
      </c>
      <c r="C11" s="18">
        <v>687.5</v>
      </c>
    </row>
    <row r="12" spans="2:5" ht="15.75" thickBot="1" x14ac:dyDescent="0.3">
      <c r="B12" s="19" t="s">
        <v>24</v>
      </c>
      <c r="C12" s="20">
        <v>8250</v>
      </c>
    </row>
    <row r="14" spans="2:5" ht="15.75" thickBot="1" x14ac:dyDescent="0.3"/>
    <row r="15" spans="2:5" x14ac:dyDescent="0.25">
      <c r="B15" s="160" t="s">
        <v>105</v>
      </c>
      <c r="C15" s="170"/>
    </row>
    <row r="16" spans="2:5" ht="15.75" thickBot="1" x14ac:dyDescent="0.3">
      <c r="B16" s="163" t="s">
        <v>20</v>
      </c>
      <c r="C16" s="171"/>
    </row>
    <row r="17" spans="2:3" ht="15.75" thickBot="1" x14ac:dyDescent="0.3">
      <c r="B17" s="15" t="s">
        <v>21</v>
      </c>
      <c r="C17" s="16" t="s">
        <v>22</v>
      </c>
    </row>
    <row r="18" spans="2:3" x14ac:dyDescent="0.25">
      <c r="B18" s="17" t="s">
        <v>10</v>
      </c>
      <c r="C18" s="18">
        <v>522.9</v>
      </c>
    </row>
    <row r="19" spans="2:3" x14ac:dyDescent="0.25">
      <c r="B19" s="17" t="s">
        <v>23</v>
      </c>
      <c r="C19" s="18">
        <v>1045.8</v>
      </c>
    </row>
    <row r="20" spans="2:3" ht="15.75" thickBot="1" x14ac:dyDescent="0.3">
      <c r="B20" s="19" t="s">
        <v>24</v>
      </c>
      <c r="C20" s="20">
        <v>12550</v>
      </c>
    </row>
    <row r="22" spans="2:3" x14ac:dyDescent="0.25">
      <c r="C22">
        <f>IF(AND('G2N Calculation'!E5="monthly",'G2N Calculation'!E14="2019 or earlier",'G2N Calculation'!E15="yes"),NRA!C11,IF(AND('G2N Calculation'!E5="semi-monthly",'G2N Calculation'!E14="2019 or earlier",'G2N Calculation'!E15="yes"),NRA!C10,IF(AND('G2N Calculation'!E5="monthly",'G2N Calculation'!E14="2020 or later",'G2N Calculation'!E15="yes"),NRA!C19,IF(AND('G2N Calculation'!E5="semi-monthly",'G2N Calculation'!E14="2020 or later",'G2N Calculation'!E15="yes"),NRA!C18,0))))</f>
        <v>0</v>
      </c>
    </row>
  </sheetData>
  <sheetProtection algorithmName="SHA-512" hashValue="yyrfKAZZca/kTCKEPEzbfnCcIkFlR5NWhs/sfDFhSJDX20j5KpT39EV2f12X8AMYiuqKEaQZveIOiySf7GrAnQ==" saltValue="xU0+0Bh2huW3avnybugHxw==" spinCount="100000" sheet="1" objects="1" scenarios="1"/>
  <mergeCells count="4">
    <mergeCell ref="B7:C7"/>
    <mergeCell ref="B8:C8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G2N Calculation</vt:lpstr>
      <vt:lpstr>Table 1</vt:lpstr>
      <vt:lpstr>Sheet2</vt:lpstr>
      <vt:lpstr>Fed Tax Table</vt:lpstr>
      <vt:lpstr>NRA</vt:lpstr>
      <vt:lpstr>'Table 1'!Print_Area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Jacob</dc:creator>
  <cp:lastModifiedBy>Mikesell, Cole</cp:lastModifiedBy>
  <cp:lastPrinted>2015-12-22T22:33:46Z</cp:lastPrinted>
  <dcterms:created xsi:type="dcterms:W3CDTF">2013-01-16T03:11:07Z</dcterms:created>
  <dcterms:modified xsi:type="dcterms:W3CDTF">2021-11-30T16:10:19Z</dcterms:modified>
</cp:coreProperties>
</file>